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eremyw\Desktop\"/>
    </mc:Choice>
  </mc:AlternateContent>
  <xr:revisionPtr revIDLastSave="0" documentId="8_{B2AA9EE0-3447-476B-9232-0DFBE3671292}" xr6:coauthVersionLast="47" xr6:coauthVersionMax="47" xr10:uidLastSave="{00000000-0000-0000-0000-000000000000}"/>
  <bookViews>
    <workbookView xWindow="-105" yWindow="-18120" windowWidth="29040" windowHeight="17640" tabRatio="601" xr2:uid="{00000000-000D-0000-FFFF-FFFF00000000}"/>
  </bookViews>
  <sheets>
    <sheet name="County" sheetId="1" r:id="rId1"/>
    <sheet name="SA6" sheetId="5" r:id="rId2"/>
    <sheet name="SA7" sheetId="2" r:id="rId3"/>
    <sheet name="SA8" sheetId="3" r:id="rId4"/>
    <sheet name="SA9" sheetId="4" r:id="rId5"/>
    <sheet name="Soldier Summit" sheetId="8" r:id="rId6"/>
    <sheet name="County Road Dist" sheetId="9" r:id="rId7"/>
    <sheet name="MBA" sheetId="10" r:id="rId8"/>
  </sheets>
  <definedNames>
    <definedName name="_xlnm._FilterDatabase" localSheetId="0" hidden="1">County!#REF!</definedName>
    <definedName name="_xlnm._FilterDatabase" localSheetId="6" hidden="1">'County Road Dist'!#REF!</definedName>
    <definedName name="_xlnm._FilterDatabase" localSheetId="7" hidden="1">MBA!#REF!</definedName>
    <definedName name="_xlnm._FilterDatabase" localSheetId="1" hidden="1">'SA6'!#REF!</definedName>
    <definedName name="_xlnm._FilterDatabase" localSheetId="2" hidden="1">'SA7'!#REF!</definedName>
    <definedName name="_xlnm._FilterDatabase" localSheetId="3" hidden="1">'SA8'!#REF!</definedName>
    <definedName name="_xlnm._FilterDatabase" localSheetId="4" hidden="1">'SA9'!#REF!</definedName>
    <definedName name="_xlnm._FilterDatabase" localSheetId="5" hidden="1">'Soldier Summit'!#REF!</definedName>
    <definedName name="_xlnm.Print_Area" localSheetId="0">County!$A$1:$E$654</definedName>
    <definedName name="_xlnm.Print_Area" localSheetId="6">'County Road Dist'!$A$1:$E$16</definedName>
    <definedName name="_xlnm.Print_Area" localSheetId="7">MBA!$A$1:$E$14</definedName>
    <definedName name="_xlnm.Print_Area" localSheetId="1">'SA6'!$A$1:$E$15</definedName>
    <definedName name="_xlnm.Print_Area" localSheetId="2">'SA7'!$A$1:$E$19</definedName>
    <definedName name="_xlnm.Print_Area" localSheetId="3">'SA8'!$A$1:$E$15</definedName>
    <definedName name="_xlnm.Print_Area" localSheetId="4">'SA9'!$A$1:$E$15</definedName>
    <definedName name="_xlnm.Print_Area" localSheetId="5">'Soldier Summit'!$A$1:$E$16</definedName>
    <definedName name="_xlnm.Print_Titles" localSheetId="0">County!$1:$3</definedName>
    <definedName name="_xlnm.Print_Titles" localSheetId="6">'County Road Dist'!$1:$3</definedName>
    <definedName name="_xlnm.Print_Titles" localSheetId="7">MBA!$1:$3</definedName>
    <definedName name="_xlnm.Print_Titles" localSheetId="1">'SA6'!$1:$3</definedName>
    <definedName name="_xlnm.Print_Titles" localSheetId="2">'SA7'!$1:$3</definedName>
    <definedName name="_xlnm.Print_Titles" localSheetId="3">'SA8'!$1:$3</definedName>
    <definedName name="_xlnm.Print_Titles" localSheetId="4">'SA9'!$1:$3</definedName>
    <definedName name="_xlnm.Print_Titles" localSheetId="5">'Soldier Summit'!$1:$3</definedName>
    <definedName name="Z_9A0F58E2_86D1_4C31_B508_0A9EC0FD1CF8_.wvu.PrintArea" localSheetId="0" hidden="1">County!$A$1:$B$669</definedName>
    <definedName name="Z_9A0F58E2_86D1_4C31_B508_0A9EC0FD1CF8_.wvu.PrintArea" localSheetId="6" hidden="1">'County Road Dist'!$A$1:$B$16</definedName>
    <definedName name="Z_9A0F58E2_86D1_4C31_B508_0A9EC0FD1CF8_.wvu.PrintArea" localSheetId="7" hidden="1">MBA!$A$1:$C$14</definedName>
    <definedName name="Z_9A0F58E2_86D1_4C31_B508_0A9EC0FD1CF8_.wvu.PrintArea" localSheetId="1" hidden="1">'SA6'!$A$1:$B$15</definedName>
    <definedName name="Z_9A0F58E2_86D1_4C31_B508_0A9EC0FD1CF8_.wvu.PrintArea" localSheetId="2" hidden="1">'SA7'!$A$1:$B$19</definedName>
    <definedName name="Z_9A0F58E2_86D1_4C31_B508_0A9EC0FD1CF8_.wvu.PrintArea" localSheetId="3" hidden="1">'SA8'!$A$1:$B$15</definedName>
    <definedName name="Z_9A0F58E2_86D1_4C31_B508_0A9EC0FD1CF8_.wvu.PrintArea" localSheetId="4" hidden="1">'SA9'!$A$1:$B$15</definedName>
    <definedName name="Z_9A0F58E2_86D1_4C31_B508_0A9EC0FD1CF8_.wvu.PrintArea" localSheetId="5" hidden="1">'Soldier Summit'!$A$1:$B$16</definedName>
    <definedName name="Z_9A0F58E2_86D1_4C31_B508_0A9EC0FD1CF8_.wvu.PrintTitles" localSheetId="0" hidden="1">County!$1:$3</definedName>
    <definedName name="Z_9A0F58E2_86D1_4C31_B508_0A9EC0FD1CF8_.wvu.PrintTitles" localSheetId="6" hidden="1">'County Road Dist'!$1:$3</definedName>
    <definedName name="Z_9A0F58E2_86D1_4C31_B508_0A9EC0FD1CF8_.wvu.PrintTitles" localSheetId="7" hidden="1">MBA!$1:$3</definedName>
    <definedName name="Z_9A0F58E2_86D1_4C31_B508_0A9EC0FD1CF8_.wvu.PrintTitles" localSheetId="1" hidden="1">'SA6'!$1:$3</definedName>
    <definedName name="Z_9A0F58E2_86D1_4C31_B508_0A9EC0FD1CF8_.wvu.PrintTitles" localSheetId="2" hidden="1">'SA7'!$1:$3</definedName>
    <definedName name="Z_9A0F58E2_86D1_4C31_B508_0A9EC0FD1CF8_.wvu.PrintTitles" localSheetId="3" hidden="1">'SA8'!$1:$3</definedName>
    <definedName name="Z_9A0F58E2_86D1_4C31_B508_0A9EC0FD1CF8_.wvu.PrintTitles" localSheetId="4" hidden="1">'SA9'!$1:$3</definedName>
    <definedName name="Z_9A0F58E2_86D1_4C31_B508_0A9EC0FD1CF8_.wvu.PrintTitles" localSheetId="5" hidden="1">'Soldier Summit'!$1:$3</definedName>
  </definedNames>
  <calcPr calcId="191029"/>
  <customWorkbookViews>
    <customWorkbookView name="danenej - Personal View" guid="{9A0F58E2-86D1-4C31-B508-0A9EC0FD1CF8}" mergeInterval="0" personalView="1" maximized="1" windowWidth="1020" windowHeight="600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7" i="1" l="1"/>
  <c r="D517" i="1" l="1"/>
  <c r="D523" i="1"/>
  <c r="C521" i="1"/>
  <c r="D263" i="1"/>
  <c r="D259" i="1"/>
  <c r="D272" i="1" s="1"/>
  <c r="C263" i="1"/>
  <c r="C259" i="1" s="1"/>
  <c r="C264" i="1"/>
  <c r="C266" i="1"/>
  <c r="C248" i="1"/>
  <c r="D310" i="1"/>
  <c r="D307" i="1"/>
  <c r="D304" i="1"/>
  <c r="D287" i="1"/>
  <c r="D284" i="1"/>
  <c r="D282" i="1"/>
  <c r="D281" i="1"/>
  <c r="D643" i="1"/>
  <c r="D648" i="1"/>
  <c r="C643" i="1"/>
  <c r="C644" i="1"/>
  <c r="C648" i="1"/>
  <c r="D623" i="1"/>
  <c r="C623" i="1"/>
  <c r="D604" i="1"/>
  <c r="C604" i="1"/>
  <c r="D582" i="1"/>
  <c r="C576" i="1"/>
  <c r="C582" i="1"/>
  <c r="D540" i="1"/>
  <c r="D539" i="1" s="1"/>
  <c r="C540" i="1"/>
  <c r="C539" i="1" s="1"/>
  <c r="C533" i="1"/>
  <c r="D487" i="1"/>
  <c r="D483" i="1"/>
  <c r="D485" i="1"/>
  <c r="C485" i="1"/>
  <c r="C483" i="1"/>
  <c r="D97" i="1"/>
  <c r="D140" i="1"/>
  <c r="D137" i="1"/>
  <c r="D171" i="1"/>
  <c r="D128" i="1"/>
  <c r="D124" i="1"/>
  <c r="D125" i="1"/>
  <c r="D122" i="1"/>
  <c r="D118" i="1"/>
  <c r="D119" i="1"/>
  <c r="D116" i="1"/>
  <c r="D114" i="1"/>
  <c r="D112" i="1"/>
  <c r="D113" i="1"/>
  <c r="D109" i="1"/>
  <c r="D105" i="1" s="1"/>
  <c r="D92" i="1"/>
  <c r="D88" i="1" s="1"/>
  <c r="D409" i="1"/>
  <c r="D411" i="1"/>
  <c r="D410" i="1"/>
  <c r="D408" i="1"/>
  <c r="D404" i="1" s="1"/>
  <c r="C414" i="1"/>
  <c r="C413" i="1"/>
  <c r="C409" i="1"/>
  <c r="C408" i="1"/>
  <c r="C404" i="1" s="1"/>
  <c r="D136" i="1" l="1"/>
  <c r="D123" i="1"/>
  <c r="D371" i="1" l="1"/>
  <c r="D367" i="1" s="1"/>
  <c r="D366" i="1"/>
  <c r="D361" i="1"/>
  <c r="D357" i="1" s="1"/>
  <c r="D356" i="1"/>
  <c r="D353" i="1"/>
  <c r="D345" i="1"/>
  <c r="C371" i="1"/>
  <c r="C367" i="1" s="1"/>
  <c r="C366" i="1"/>
  <c r="C362" i="1" s="1"/>
  <c r="C361" i="1"/>
  <c r="C357" i="1" s="1"/>
  <c r="C356" i="1"/>
  <c r="C352" i="1" s="1"/>
  <c r="D337" i="1"/>
  <c r="C337" i="1"/>
  <c r="C331" i="1"/>
  <c r="D324" i="1"/>
  <c r="D323" i="1"/>
  <c r="D319" i="1"/>
  <c r="D318" i="1"/>
  <c r="D315" i="1"/>
  <c r="C324" i="1"/>
  <c r="D240" i="1"/>
  <c r="D235" i="1"/>
  <c r="D230" i="1"/>
  <c r="D228" i="1"/>
  <c r="D227" i="1"/>
  <c r="D225" i="1"/>
  <c r="D223" i="1"/>
  <c r="D222" i="1"/>
  <c r="D220" i="1"/>
  <c r="D215" i="1"/>
  <c r="D214" i="1"/>
  <c r="D210" i="1"/>
  <c r="C240" i="1"/>
  <c r="C235" i="1"/>
  <c r="C230" i="1"/>
  <c r="C225" i="1"/>
  <c r="C220" i="1"/>
  <c r="C215" i="1"/>
  <c r="C210" i="1"/>
  <c r="C206" i="1" s="1"/>
  <c r="D352" i="1" l="1"/>
  <c r="C373" i="1"/>
  <c r="D362" i="1"/>
  <c r="D373" i="1" l="1"/>
  <c r="D15" i="2" l="1"/>
  <c r="D5" i="4" l="1"/>
  <c r="C398" i="1" l="1"/>
  <c r="C380" i="1"/>
  <c r="D104" i="1"/>
  <c r="D101" i="1"/>
  <c r="D87" i="1"/>
  <c r="D85" i="1"/>
  <c r="D84" i="1"/>
  <c r="D82" i="1"/>
  <c r="D80" i="1"/>
  <c r="D83" i="1" l="1"/>
  <c r="D78" i="1"/>
  <c r="D99" i="1"/>
  <c r="D94" i="1"/>
  <c r="D77" i="1"/>
  <c r="D72" i="1"/>
  <c r="D68" i="1" s="1"/>
  <c r="D67" i="1"/>
  <c r="D65" i="1"/>
  <c r="D64" i="1"/>
  <c r="D62" i="1"/>
  <c r="D57" i="1"/>
  <c r="D54" i="1"/>
  <c r="D53" i="1" s="1"/>
  <c r="D63" i="1" l="1"/>
  <c r="D93" i="1"/>
  <c r="D460" i="1"/>
  <c r="C8" i="8" l="1"/>
  <c r="D455" i="1" l="1"/>
  <c r="D457" i="1" s="1"/>
  <c r="D450" i="1"/>
  <c r="D452" i="1" s="1"/>
  <c r="D445" i="1"/>
  <c r="D440" i="1"/>
  <c r="C457" i="1"/>
  <c r="C452" i="1"/>
  <c r="C447" i="1"/>
  <c r="C442" i="1"/>
  <c r="D447" i="1" l="1"/>
  <c r="D442" i="1"/>
  <c r="D166" i="1" l="1"/>
  <c r="D161" i="1"/>
  <c r="C161" i="1"/>
  <c r="D158" i="1"/>
  <c r="C158" i="1"/>
  <c r="D153" i="1"/>
  <c r="C153" i="1"/>
  <c r="D146" i="1"/>
  <c r="D150" i="1" s="1"/>
  <c r="C150" i="1"/>
  <c r="C145" i="1"/>
  <c r="C140" i="1"/>
  <c r="D135" i="1"/>
  <c r="C135" i="1"/>
  <c r="D133" i="1"/>
  <c r="C133" i="1"/>
  <c r="C128" i="1"/>
  <c r="C122" i="1"/>
  <c r="C116" i="1"/>
  <c r="C109" i="1"/>
  <c r="D102" i="1"/>
  <c r="D100" i="1" s="1"/>
  <c r="C104" i="1"/>
  <c r="C99" i="1"/>
  <c r="C97" i="1"/>
  <c r="C92" i="1"/>
  <c r="C87" i="1"/>
  <c r="C82" i="1"/>
  <c r="D75" i="1"/>
  <c r="D73" i="1" s="1"/>
  <c r="C77" i="1"/>
  <c r="C72" i="1"/>
  <c r="C67" i="1"/>
  <c r="D59" i="1"/>
  <c r="C62" i="1"/>
  <c r="C57" i="1"/>
  <c r="D58" i="1" l="1"/>
  <c r="D145" i="1"/>
  <c r="D639" i="1"/>
  <c r="C639" i="1"/>
  <c r="C650" i="1"/>
  <c r="D608" i="1"/>
  <c r="C586" i="1"/>
  <c r="D543" i="1"/>
  <c r="D327" i="1"/>
  <c r="D193" i="1"/>
  <c r="D19" i="2"/>
  <c r="C9" i="5"/>
  <c r="C14" i="5" s="1"/>
  <c r="C15" i="5" s="1"/>
  <c r="C497" i="1"/>
  <c r="C468" i="1"/>
  <c r="C435" i="1"/>
  <c r="C459" i="1" s="1"/>
  <c r="C401" i="1"/>
  <c r="C420" i="1" s="1"/>
  <c r="C422" i="1" s="1"/>
  <c r="C381" i="1"/>
  <c r="C334" i="1"/>
  <c r="C339" i="1" s="1"/>
  <c r="C321" i="1"/>
  <c r="C326" i="1" s="1"/>
  <c r="C185" i="1"/>
  <c r="C192" i="1" s="1"/>
  <c r="D15" i="8"/>
  <c r="D9" i="8"/>
  <c r="C49" i="1"/>
  <c r="C172" i="1" s="1"/>
  <c r="C619" i="1"/>
  <c r="C627" i="1"/>
  <c r="C600" i="1"/>
  <c r="C608" i="1"/>
  <c r="C578" i="1"/>
  <c r="C555" i="1"/>
  <c r="C566" i="1"/>
  <c r="C535" i="1"/>
  <c r="C543" i="1"/>
  <c r="C9" i="3"/>
  <c r="D49" i="1"/>
  <c r="D340" i="1"/>
  <c r="D389" i="1"/>
  <c r="D476" i="1"/>
  <c r="D497" i="1"/>
  <c r="D566" i="1"/>
  <c r="D586" i="1"/>
  <c r="D627" i="1"/>
  <c r="C15" i="8"/>
  <c r="D185" i="1"/>
  <c r="D203" i="1"/>
  <c r="D257" i="1"/>
  <c r="D297" i="1"/>
  <c r="D321" i="1"/>
  <c r="D334" i="1"/>
  <c r="D349" i="1"/>
  <c r="D381" i="1"/>
  <c r="D401" i="1"/>
  <c r="D435" i="1"/>
  <c r="D468" i="1"/>
  <c r="D489" i="1"/>
  <c r="D511" i="1"/>
  <c r="D535" i="1"/>
  <c r="D555" i="1"/>
  <c r="D578" i="1"/>
  <c r="D600" i="1"/>
  <c r="D619" i="1"/>
  <c r="D311" i="1"/>
  <c r="C16" i="9"/>
  <c r="C7" i="9" s="1"/>
  <c r="C8" i="9" s="1"/>
  <c r="C9" i="8"/>
  <c r="C527" i="1"/>
  <c r="C510" i="1" s="1"/>
  <c r="C489" i="1"/>
  <c r="C476" i="1"/>
  <c r="C389" i="1"/>
  <c r="C349" i="1"/>
  <c r="C203" i="1"/>
  <c r="C241" i="1" s="1"/>
  <c r="C8" i="10"/>
  <c r="D8" i="10"/>
  <c r="C14" i="10"/>
  <c r="D14" i="10"/>
  <c r="D8" i="9"/>
  <c r="D16" i="9"/>
  <c r="D9" i="4"/>
  <c r="C15" i="4"/>
  <c r="C8" i="4" s="1"/>
  <c r="C9" i="4" s="1"/>
  <c r="D15" i="4"/>
  <c r="D9" i="3"/>
  <c r="D15" i="3"/>
  <c r="C11" i="2"/>
  <c r="C17" i="2" s="1"/>
  <c r="C19" i="2" s="1"/>
  <c r="D11" i="2"/>
  <c r="D9" i="5"/>
  <c r="D15" i="5"/>
  <c r="C14" i="3" l="1"/>
  <c r="C15" i="3" s="1"/>
  <c r="C173" i="1"/>
  <c r="C511" i="1"/>
  <c r="D527" i="1"/>
  <c r="C257" i="1"/>
  <c r="C271" i="1" s="1"/>
  <c r="C193" i="1"/>
  <c r="C297" i="1"/>
  <c r="C327" i="1"/>
  <c r="C340" i="1"/>
  <c r="C460" i="1"/>
  <c r="D422" i="1"/>
  <c r="D631" i="1"/>
  <c r="D570" i="1"/>
  <c r="C611" i="1"/>
  <c r="C547" i="1"/>
  <c r="C311" i="1"/>
  <c r="D650" i="1"/>
  <c r="D654" i="1" s="1"/>
  <c r="C592" i="1"/>
  <c r="D547" i="1"/>
  <c r="D611" i="1"/>
  <c r="C570" i="1"/>
  <c r="C631" i="1"/>
  <c r="D592" i="1"/>
  <c r="C654" i="1"/>
  <c r="C272" i="1" l="1"/>
  <c r="C175" i="1"/>
  <c r="C211" i="1" l="1"/>
  <c r="C216" i="1"/>
  <c r="C221" i="1"/>
  <c r="C226" i="1"/>
  <c r="C231" i="1"/>
  <c r="C236" i="1"/>
  <c r="D206" i="1"/>
  <c r="C242" i="1" l="1"/>
  <c r="D211" i="1"/>
  <c r="D216" i="1" l="1"/>
  <c r="D221" i="1" l="1"/>
  <c r="D226" i="1" l="1"/>
  <c r="D231" i="1"/>
  <c r="D236" i="1" l="1"/>
  <c r="D242" i="1" l="1"/>
  <c r="D111" i="1" l="1"/>
  <c r="D117" i="1" l="1"/>
  <c r="D173" i="1" l="1"/>
  <c r="D175" i="1" s="1"/>
</calcChain>
</file>

<file path=xl/sharedStrings.xml><?xml version="1.0" encoding="utf-8"?>
<sst xmlns="http://schemas.openxmlformats.org/spreadsheetml/2006/main" count="1153" uniqueCount="514">
  <si>
    <t>UTAH COUNTY</t>
  </si>
  <si>
    <t>BUDGET</t>
  </si>
  <si>
    <t>Revenues:</t>
  </si>
  <si>
    <t>RECORDER FEES</t>
  </si>
  <si>
    <t>AUDITOR MISC FEES</t>
  </si>
  <si>
    <t>SALE OF FIXED ASSETS</t>
  </si>
  <si>
    <t>Total Revenues:</t>
  </si>
  <si>
    <t>Expenditures:</t>
  </si>
  <si>
    <t xml:space="preserve"> </t>
  </si>
  <si>
    <t>FEDERAL PAYMENT IN LIEU</t>
  </si>
  <si>
    <t>34120-2000</t>
  </si>
  <si>
    <t>34160-1000</t>
  </si>
  <si>
    <t>34160-2000</t>
  </si>
  <si>
    <t>CLERK SERVICES FEES</t>
  </si>
  <si>
    <t>CLERK PASSPORT FEES</t>
  </si>
  <si>
    <t>34160-3000</t>
  </si>
  <si>
    <t>34160-4000</t>
  </si>
  <si>
    <t>CLERK ELECTION FEES</t>
  </si>
  <si>
    <t>ASSESSOR FEES</t>
  </si>
  <si>
    <t>PW/PARKS SERVICE FEES</t>
  </si>
  <si>
    <t>GENERAL FUND (100)</t>
  </si>
  <si>
    <t>COMMISSION</t>
  </si>
  <si>
    <t>41110</t>
  </si>
  <si>
    <t>JUSTICE COURT</t>
  </si>
  <si>
    <t>41220</t>
  </si>
  <si>
    <t>PERSONNEL</t>
  </si>
  <si>
    <t>41340</t>
  </si>
  <si>
    <t>41370</t>
  </si>
  <si>
    <t>41410</t>
  </si>
  <si>
    <t>41411</t>
  </si>
  <si>
    <t>41430</t>
  </si>
  <si>
    <t>TREASURER</t>
  </si>
  <si>
    <t>41440</t>
  </si>
  <si>
    <t>RECORDER</t>
  </si>
  <si>
    <t>ATTORNEY</t>
  </si>
  <si>
    <t>41460</t>
  </si>
  <si>
    <t>ASSESSOR</t>
  </si>
  <si>
    <t>41500</t>
  </si>
  <si>
    <t>NON DEPARTMENTAL</t>
  </si>
  <si>
    <t>41550</t>
  </si>
  <si>
    <t>INTERAGENCY ALLOCATION</t>
  </si>
  <si>
    <t>41700</t>
  </si>
  <si>
    <t>ELECTIONS</t>
  </si>
  <si>
    <t>43900</t>
  </si>
  <si>
    <t>PUBLIC AID</t>
  </si>
  <si>
    <t>44110</t>
  </si>
  <si>
    <t>45100</t>
  </si>
  <si>
    <t>45910</t>
  </si>
  <si>
    <t>EXTENSION</t>
  </si>
  <si>
    <t>45920</t>
  </si>
  <si>
    <t>AGRICULTURE</t>
  </si>
  <si>
    <t>Total Expenditures:</t>
  </si>
  <si>
    <t>ADMINISTRATION</t>
  </si>
  <si>
    <t>43350</t>
  </si>
  <si>
    <t>HEALTH DEPARTMENT (230)</t>
  </si>
  <si>
    <t>43100</t>
  </si>
  <si>
    <t>43110</t>
  </si>
  <si>
    <t>ENVIRONMENTAL</t>
  </si>
  <si>
    <t>43120</t>
  </si>
  <si>
    <t>43130</t>
  </si>
  <si>
    <t>43140</t>
  </si>
  <si>
    <t>43150</t>
  </si>
  <si>
    <t>W.I.C.</t>
  </si>
  <si>
    <t>49201-9100</t>
  </si>
  <si>
    <t>49211</t>
  </si>
  <si>
    <t>49221-9100</t>
  </si>
  <si>
    <t>49231-9100</t>
  </si>
  <si>
    <t>42250</t>
  </si>
  <si>
    <t>CHILD JUSTICE (250)</t>
  </si>
  <si>
    <t>45810</t>
  </si>
  <si>
    <t>45820</t>
  </si>
  <si>
    <t>FOSTER GRANDPARENTS</t>
  </si>
  <si>
    <t>SENIOR COMPANIONS</t>
  </si>
  <si>
    <t>42730</t>
  </si>
  <si>
    <t>31351-0</t>
  </si>
  <si>
    <t>45601</t>
  </si>
  <si>
    <t>RESTAURANT TAX</t>
  </si>
  <si>
    <t>BOOKMOBILE</t>
  </si>
  <si>
    <t>45620-9100</t>
  </si>
  <si>
    <t>47120</t>
  </si>
  <si>
    <t>CAPITAL PROJECTS (400)</t>
  </si>
  <si>
    <t>Operating Revenues:</t>
  </si>
  <si>
    <t>SALARY &amp; WAGES</t>
  </si>
  <si>
    <t>MATERIALS &amp; SUPPLIES</t>
  </si>
  <si>
    <t>Operating Expenditures:</t>
  </si>
  <si>
    <t>Total Operating Expenditures:</t>
  </si>
  <si>
    <t>Non-Operating Funding:</t>
  </si>
  <si>
    <t>Total Cash Funding Requirements:</t>
  </si>
  <si>
    <t>MOTOR POOL (610)</t>
  </si>
  <si>
    <t>Total Operating Revenues:</t>
  </si>
  <si>
    <t>OPERATING EXPENSES</t>
  </si>
  <si>
    <t>DEPRECIATION EXPENSE</t>
  </si>
  <si>
    <t>JAIL FOOD SERVICES (620)</t>
  </si>
  <si>
    <t>39562-1000</t>
  </si>
  <si>
    <t>39562-2000</t>
  </si>
  <si>
    <t>42620-1XXX</t>
  </si>
  <si>
    <t>42620</t>
  </si>
  <si>
    <t>BUILDING MAINTENANCE (630)</t>
  </si>
  <si>
    <t>44630-1XXX</t>
  </si>
  <si>
    <t>44630-9800</t>
  </si>
  <si>
    <t>TELECOMMUNICATION (640)</t>
  </si>
  <si>
    <t>44640-1XXX</t>
  </si>
  <si>
    <t>CAPITAL</t>
  </si>
  <si>
    <t>42620-7410</t>
  </si>
  <si>
    <t>RADIO COMMUNICATION (650)</t>
  </si>
  <si>
    <t>ACTUAL</t>
  </si>
  <si>
    <t>38100</t>
  </si>
  <si>
    <t>COMPUTER SUPPORT (670)</t>
  </si>
  <si>
    <t>INCARCERATION SURCHARGE</t>
  </si>
  <si>
    <t>APPROPRIATED FUND BALANCE</t>
  </si>
  <si>
    <t>RECORDS MANAGEMENT</t>
  </si>
  <si>
    <t>TRANSFER TO FD 230 (HEALTH DEPT)</t>
  </si>
  <si>
    <t>TRANSFER TO FD 250 (CHILDREN'S JUSTICE)</t>
  </si>
  <si>
    <t>32160</t>
  </si>
  <si>
    <t>BUSINESS LICENSES</t>
  </si>
  <si>
    <t>33XXX</t>
  </si>
  <si>
    <t>INTERGOVERNMENTAL REVENUE (GRANTS)</t>
  </si>
  <si>
    <t>34XXX</t>
  </si>
  <si>
    <t>CHARGES FOR SERVICES</t>
  </si>
  <si>
    <t>36XXX</t>
  </si>
  <si>
    <t>MISCELLANEOUS REVENUE</t>
  </si>
  <si>
    <t>TRANSFER FROM FD 100 (GENERAL)</t>
  </si>
  <si>
    <t>TRANSFER FROM FD 630 (BLDG MAINT)</t>
  </si>
  <si>
    <t>INTERGOVERNMENTAL REVENUE</t>
  </si>
  <si>
    <t>MOTOR VEHICLE SHORT-TERM LEASE TAX</t>
  </si>
  <si>
    <t>UVCVB</t>
  </si>
  <si>
    <t>45620-3100</t>
  </si>
  <si>
    <t>31XXX</t>
  </si>
  <si>
    <t>TAXES</t>
  </si>
  <si>
    <t>TRANSFER TO FD 100 (GENERAL)</t>
  </si>
  <si>
    <t>49241-4200</t>
  </si>
  <si>
    <t>44700-7012</t>
  </si>
  <si>
    <t>SECURITY PROJECTS</t>
  </si>
  <si>
    <t>44700-7013</t>
  </si>
  <si>
    <t>ADMINISTRATION PROJECTS</t>
  </si>
  <si>
    <t>44700-7014</t>
  </si>
  <si>
    <t>HEALTH &amp; JUSTICE PROJECTS</t>
  </si>
  <si>
    <t>44700-7015</t>
  </si>
  <si>
    <t>COURTHOUSE PROJECTS</t>
  </si>
  <si>
    <t>44700-7016</t>
  </si>
  <si>
    <t>44700-7017</t>
  </si>
  <si>
    <t>39XXX</t>
  </si>
  <si>
    <t>INTRAGOVERNMENTAL REVENUE</t>
  </si>
  <si>
    <t>INTRAGOVERNMENTAL REVENUE (JAIL)</t>
  </si>
  <si>
    <t>INTRAGOVERNMENTAL REVENUE (WASATCH)</t>
  </si>
  <si>
    <t>44650-1XXX</t>
  </si>
  <si>
    <t>41670-1XXX</t>
  </si>
  <si>
    <t>44630-9100</t>
  </si>
  <si>
    <t>44640-9800</t>
  </si>
  <si>
    <t>TRANSFER FROM FD 620 (KITCHEN)</t>
  </si>
  <si>
    <t>44610-9800</t>
  </si>
  <si>
    <t>42620-9800</t>
  </si>
  <si>
    <t>42620-9200</t>
  </si>
  <si>
    <t>44650-9800</t>
  </si>
  <si>
    <t>SALARY &amp; WAGES (SUPPORT)</t>
  </si>
  <si>
    <t>MATERIALS &amp; SUPPLIES (SUPPORT)</t>
  </si>
  <si>
    <t>41671-1XXX</t>
  </si>
  <si>
    <t>41671</t>
  </si>
  <si>
    <t>SALARY &amp; WAGES (PROGRAMMING)</t>
  </si>
  <si>
    <t>MATERIALS &amp; SUPPLIES (PROGRAMMING)</t>
  </si>
  <si>
    <t>41670-9800</t>
  </si>
  <si>
    <t>41671-7410</t>
  </si>
  <si>
    <t>CAPITAL (SUPPORT)</t>
  </si>
  <si>
    <t>CAPITAL (PROGRAMMING)</t>
  </si>
  <si>
    <t>43350-9200</t>
  </si>
  <si>
    <t>45601-3100</t>
  </si>
  <si>
    <t>LOCAL OPTION SALES TAX</t>
  </si>
  <si>
    <t>COUNTY OPTION SALES TAX</t>
  </si>
  <si>
    <t>TRANSFER TO FD 391 (REVENUE BOND DEBT SERV)</t>
  </si>
  <si>
    <t>COMMUNITY HEALTH SERVICES</t>
  </si>
  <si>
    <t>HEALTH PROMOTION</t>
  </si>
  <si>
    <t>45620-9200</t>
  </si>
  <si>
    <t>ASSESSING &amp; COLLECTING (290)</t>
  </si>
  <si>
    <t>41461-9200</t>
  </si>
  <si>
    <t>49211-9200</t>
  </si>
  <si>
    <t>GENERAL OBLIGATION DEBT SERV (390)</t>
  </si>
  <si>
    <t>REVENUE BOND DEBT SERVICE (391)</t>
  </si>
  <si>
    <t>47121</t>
  </si>
  <si>
    <t>OTHER EXPENDITURES</t>
  </si>
  <si>
    <t>45601-9200</t>
  </si>
  <si>
    <t>44610-1XXX</t>
  </si>
  <si>
    <t>38700</t>
  </si>
  <si>
    <t>MARRIAGE LICENSES</t>
  </si>
  <si>
    <t>TRANSIENT ROOM TAX (280)</t>
  </si>
  <si>
    <t>TRCC TAXES (281)</t>
  </si>
  <si>
    <t>45620</t>
  </si>
  <si>
    <t>ICE SHEET</t>
  </si>
  <si>
    <t>PROPERTY TAXES</t>
  </si>
  <si>
    <t>PROPERTY TAXES - ASSESSING &amp; COLLECTING</t>
  </si>
  <si>
    <t>APPROPRIATED UNDESIGNATED FUND BALANCE</t>
  </si>
  <si>
    <t>31360</t>
  </si>
  <si>
    <t>CONTRIBUTIONS FROM PRIVATE SOURCES</t>
  </si>
  <si>
    <t>TRANSIENT ROOM TAX (3%)</t>
  </si>
  <si>
    <t>31351-1000</t>
  </si>
  <si>
    <t>TRANSIENT ROOM TAX (1.25%)</t>
  </si>
  <si>
    <t>48300-9100</t>
  </si>
  <si>
    <t>48300-9200</t>
  </si>
  <si>
    <t>APPROPRIATION OF FUND BALANCE FOR OTHER EXP</t>
  </si>
  <si>
    <t>COMMISSION FEES</t>
  </si>
  <si>
    <t>41412</t>
  </si>
  <si>
    <t>TAX ADMINISTRATION</t>
  </si>
  <si>
    <t>AUDITOR</t>
  </si>
  <si>
    <t>CLERK</t>
  </si>
  <si>
    <t>45622</t>
  </si>
  <si>
    <t>UTAH COUNTY FAIR</t>
  </si>
  <si>
    <t>4461X</t>
  </si>
  <si>
    <t>4461X-74XX</t>
  </si>
  <si>
    <t>42621-1XXX</t>
  </si>
  <si>
    <t>SALARY &amp; WAGES - MEALS ON WHEELS</t>
  </si>
  <si>
    <t>MATERIALS &amp; SUPPLIES - MEALS ON WHEELS</t>
  </si>
  <si>
    <t>CAPITAL - MEALS ON WHEELS</t>
  </si>
  <si>
    <t>42621</t>
  </si>
  <si>
    <t>42621-7410</t>
  </si>
  <si>
    <t>4463X</t>
  </si>
  <si>
    <t>4463X-7410</t>
  </si>
  <si>
    <t>4464X</t>
  </si>
  <si>
    <t>4464X-7410</t>
  </si>
  <si>
    <t>4465X</t>
  </si>
  <si>
    <t>4465X-7410</t>
  </si>
  <si>
    <t>4167X-7410</t>
  </si>
  <si>
    <t>4167X</t>
  </si>
  <si>
    <t>49221-9200</t>
  </si>
  <si>
    <t>44611-9200</t>
  </si>
  <si>
    <t>42620-9100</t>
  </si>
  <si>
    <t>44631-9200</t>
  </si>
  <si>
    <t>44641-9200</t>
  </si>
  <si>
    <t>44651-9200</t>
  </si>
  <si>
    <t>41672-9200</t>
  </si>
  <si>
    <t>38900</t>
  </si>
  <si>
    <t>TRANSFER TO UTAH COUNTY GOVT (FUND 100)</t>
  </si>
  <si>
    <t>TRANSFER FROM SPECIAL SERVICE AREA 9 (FD 244)</t>
  </si>
  <si>
    <t>49211-1XXX</t>
  </si>
  <si>
    <t>49211-7410</t>
  </si>
  <si>
    <t>SALARIES AND BENEFITS</t>
  </si>
  <si>
    <t>CAPITAL OUTLAY</t>
  </si>
  <si>
    <t>CONTRIBUTION TO FUND BALANCE</t>
  </si>
  <si>
    <t>UTAH COUNTY SERVICE AREA NO. 7</t>
  </si>
  <si>
    <t>UTAH COUNTY SERVICE AREA NO. 6</t>
  </si>
  <si>
    <t>UTAH COUNTY SERVICE AREA NO. 8</t>
  </si>
  <si>
    <t>TRANSFER TO UTAH COUNTY GOVT (FD 100)</t>
  </si>
  <si>
    <t>UTAH COUNTY SERVICE AREA NO. 9</t>
  </si>
  <si>
    <t>TRANSFER TO SERVICE AREA 7 (GENERAL FD)</t>
  </si>
  <si>
    <t>44130</t>
  </si>
  <si>
    <t>44500</t>
  </si>
  <si>
    <t>44550</t>
  </si>
  <si>
    <t>SOLDIER SUMMIT SPECIAL SERV DIST</t>
  </si>
  <si>
    <t>49251</t>
  </si>
  <si>
    <t>44131</t>
  </si>
  <si>
    <t>421XX/42530</t>
  </si>
  <si>
    <t>423XX</t>
  </si>
  <si>
    <t>PW/ENGINEERING FEES</t>
  </si>
  <si>
    <t>4145X</t>
  </si>
  <si>
    <t>49241-9100</t>
  </si>
  <si>
    <t>SPECIAL ROAD PROJECTS</t>
  </si>
  <si>
    <t>TRANSFER FROM FD 247 (PUBLIC TRANSPORTATION)</t>
  </si>
  <si>
    <t>3870X</t>
  </si>
  <si>
    <t>49231</t>
  </si>
  <si>
    <t>MATERIALS, SUPPLIES, AND SERVICES</t>
  </si>
  <si>
    <t>49231-9200</t>
  </si>
  <si>
    <t>49221</t>
  </si>
  <si>
    <t>49201</t>
  </si>
  <si>
    <t>43100-9200</t>
  </si>
  <si>
    <t>31352</t>
  </si>
  <si>
    <t>31353</t>
  </si>
  <si>
    <t>36401</t>
  </si>
  <si>
    <t>31300</t>
  </si>
  <si>
    <t>31350</t>
  </si>
  <si>
    <t>32220</t>
  </si>
  <si>
    <t>33231</t>
  </si>
  <si>
    <t>33300</t>
  </si>
  <si>
    <t>34110</t>
  </si>
  <si>
    <t>34170</t>
  </si>
  <si>
    <t>34409</t>
  </si>
  <si>
    <t>34451</t>
  </si>
  <si>
    <t>35102</t>
  </si>
  <si>
    <t>35103</t>
  </si>
  <si>
    <t>35220</t>
  </si>
  <si>
    <t>31XXX-1000</t>
  </si>
  <si>
    <t>TRANSFER TO FD 391 (CONVENTION CTR BOND PMT)</t>
  </si>
  <si>
    <t>TRANSFER FROM FD 281 (TRCC)</t>
  </si>
  <si>
    <t>47120-9200</t>
  </si>
  <si>
    <t>47121-9200</t>
  </si>
  <si>
    <t>49251-9200</t>
  </si>
  <si>
    <t>31420</t>
  </si>
  <si>
    <t>34181</t>
  </si>
  <si>
    <t>TREASURER FEES</t>
  </si>
  <si>
    <t>OUTSIDE DONATIONS</t>
  </si>
  <si>
    <t>PUBLIC WORKS / ADMINISTRATION</t>
  </si>
  <si>
    <t>SHERIFF / ENFORCEMENT</t>
  </si>
  <si>
    <t>SHERIFF / CORRECTIONS</t>
  </si>
  <si>
    <t>PUBLIC WORKS / ENGINEERING</t>
  </si>
  <si>
    <t>TRANSFER FROM FD 241 (SERV AREA 6 / SHERIFF)</t>
  </si>
  <si>
    <t>TRANSFER FROM FD 243 (SERV AREA 8 / PLANNING)</t>
  </si>
  <si>
    <t>MOTOR VEHICLE REGISTRATION FEE</t>
  </si>
  <si>
    <t>44160</t>
  </si>
  <si>
    <t>44161</t>
  </si>
  <si>
    <t>44162</t>
  </si>
  <si>
    <t>REGISTRATION FEE ROAD PROJECTS</t>
  </si>
  <si>
    <t>44163</t>
  </si>
  <si>
    <t>4416X-9100</t>
  </si>
  <si>
    <t>4416X-9200</t>
  </si>
  <si>
    <t>42250-9200</t>
  </si>
  <si>
    <t>42730-9200</t>
  </si>
  <si>
    <t>45601-9100</t>
  </si>
  <si>
    <t>MATERIALS, SERVICES, AND SUPPLIES</t>
  </si>
  <si>
    <t>GRANTS/CONTRIBUTIONS TO OUTSIDE AGENCIES</t>
  </si>
  <si>
    <t>TRANSFER FROM FD 280 (TRT)</t>
  </si>
  <si>
    <t>UTAH VALLEY CONVENTION CENTER</t>
  </si>
  <si>
    <t>44700-7019</t>
  </si>
  <si>
    <t>44700-7020</t>
  </si>
  <si>
    <t>ENERGY IMPROVEMENTS</t>
  </si>
  <si>
    <t>TRANSFER TO FD 400 (CAPITAL PROJECTS)</t>
  </si>
  <si>
    <t>TRANSFER TO FD 391 (REVENUE BOND PMT)</t>
  </si>
  <si>
    <t>SURVEYOR</t>
  </si>
  <si>
    <t>49201-9200</t>
  </si>
  <si>
    <t>GIS &amp; MAPPING</t>
  </si>
  <si>
    <t>44650-9100</t>
  </si>
  <si>
    <t>MAPPING FEES</t>
  </si>
  <si>
    <t>CURRENT</t>
  </si>
  <si>
    <t>49241-9200</t>
  </si>
  <si>
    <t>OF UTAH COUNTY</t>
  </si>
  <si>
    <t>MUNICIPAL BUILDING AUTHORITY</t>
  </si>
  <si>
    <t>34111</t>
  </si>
  <si>
    <t>PERSONNEL FEES</t>
  </si>
  <si>
    <t>JUSTICE COURT FEES</t>
  </si>
  <si>
    <t>SURVEYOR FEES</t>
  </si>
  <si>
    <t>41362</t>
  </si>
  <si>
    <t>418XX</t>
  </si>
  <si>
    <t>COMMUNITY DEVELOPMENT</t>
  </si>
  <si>
    <t>421XX</t>
  </si>
  <si>
    <t>ATTORNEY'S OFFICE GRANT EXPENDITURES</t>
  </si>
  <si>
    <t>SHERIFF'S OFFICE GRANT EXPENDITURES</t>
  </si>
  <si>
    <t>41120</t>
  </si>
  <si>
    <t>CDBG EXPENDITURES</t>
  </si>
  <si>
    <t>33401</t>
  </si>
  <si>
    <t>ROAD PROJECTS (247)</t>
  </si>
  <si>
    <t>"B" ROAD FUND ALLOTMENT</t>
  </si>
  <si>
    <t>GRANTS / OUTSIDE PROJECTS (248)</t>
  </si>
  <si>
    <t>PUBLIC WORKS PROJECTS</t>
  </si>
  <si>
    <t>32210</t>
  </si>
  <si>
    <t>BUILDING PERMITS</t>
  </si>
  <si>
    <t>34120</t>
  </si>
  <si>
    <t>INTERGOVERNMENTAL REVENUE (ATTORNEY)</t>
  </si>
  <si>
    <t>INTERGOVERNMENTAL REVENUE (JUSTICE COURT)</t>
  </si>
  <si>
    <t>INTERGOVERNMENTAL REVENUE (PUBLIC WORKS)</t>
  </si>
  <si>
    <t>"B" ROAD PROJECTS</t>
  </si>
  <si>
    <t>34112</t>
  </si>
  <si>
    <t>PUBLIC DEFENDER RECOUPMENT</t>
  </si>
  <si>
    <t>MICROFILM RECORDS FEES</t>
  </si>
  <si>
    <t>3414X</t>
  </si>
  <si>
    <t>COMMUNITY DEVELOPMENT FEES</t>
  </si>
  <si>
    <t>34150</t>
  </si>
  <si>
    <t>34190</t>
  </si>
  <si>
    <t>34191</t>
  </si>
  <si>
    <t>ATTORNEY FEES (PROSECUTION)</t>
  </si>
  <si>
    <t>34192</t>
  </si>
  <si>
    <t>ATTORNEY FEES (CIVIL)</t>
  </si>
  <si>
    <t>SHERIFF WILDLAND FIRE FEES</t>
  </si>
  <si>
    <t>SHERIFF CORRECTIONS FEES</t>
  </si>
  <si>
    <t>343XX</t>
  </si>
  <si>
    <t>HEALTH / MOSQUITO ABATEMENT</t>
  </si>
  <si>
    <t>LAW ENFORCEMENT (274)</t>
  </si>
  <si>
    <t>33160</t>
  </si>
  <si>
    <t>EXTENSION GRANTS</t>
  </si>
  <si>
    <t>SHERIFF CORRECTIONS GRANTS</t>
  </si>
  <si>
    <t>SHERIFF ENFORCEMENT FEES</t>
  </si>
  <si>
    <t>342XX</t>
  </si>
  <si>
    <t>3521X</t>
  </si>
  <si>
    <t>JUSTICE COURT FINES</t>
  </si>
  <si>
    <t>COMMUNITY DEVELOPMENT FINES &amp; FORFEITURES</t>
  </si>
  <si>
    <t>32XXX</t>
  </si>
  <si>
    <t>LICENSES AND PERMITS</t>
  </si>
  <si>
    <t>387XX</t>
  </si>
  <si>
    <t>ISSUANCE OF BONDS</t>
  </si>
  <si>
    <t>INTERGOVERNMENTAL REVENUE (CDBG)</t>
  </si>
  <si>
    <t>INTERGOVERNMENTAL REVENUE (FIRE)</t>
  </si>
  <si>
    <t>INTERGOVERNMENTAL REVENUE (COMMISSION)</t>
  </si>
  <si>
    <t>INTERGOVERNMENTAL REVENUE (SHERIFF ENF)</t>
  </si>
  <si>
    <t>CHARGES FOR SERVICES (SHERIFF)</t>
  </si>
  <si>
    <t>CHARGES FOR SERVICES (PUBLIC WORKS)</t>
  </si>
  <si>
    <t>ATTORNEY FORFEITURES</t>
  </si>
  <si>
    <t>422XX</t>
  </si>
  <si>
    <t>SHERIFF / WILDLAND FIRE</t>
  </si>
  <si>
    <t>44700-7100</t>
  </si>
  <si>
    <t>42111</t>
  </si>
  <si>
    <t>PATROL EXPENDITURES</t>
  </si>
  <si>
    <t>42121</t>
  </si>
  <si>
    <t>INVESTIGATION EXPENDITURES</t>
  </si>
  <si>
    <t>42181</t>
  </si>
  <si>
    <t>SEX CRIMES INVESTIGATION EXPENDITURES</t>
  </si>
  <si>
    <t>42531</t>
  </si>
  <si>
    <t>ANIMAL ENFORCEMENT EXPENDITURES</t>
  </si>
  <si>
    <t>42111-9200</t>
  </si>
  <si>
    <t>41510</t>
  </si>
  <si>
    <t>NON-DEPARTMENTAL</t>
  </si>
  <si>
    <t>JUSTICE COURT GRANT EXPENDITURES</t>
  </si>
  <si>
    <t>CONVENTION CENTER OPERATION &amp; MAINTENANCE</t>
  </si>
  <si>
    <t>TRANSFER TO FD 391 (THANKSGIVING PT BOND PMT)</t>
  </si>
  <si>
    <t>34160</t>
  </si>
  <si>
    <t>AUDITOR FEES</t>
  </si>
  <si>
    <t>TRANSFER TO ROAD PROJECTS (FUND 247)</t>
  </si>
  <si>
    <t>49241</t>
  </si>
  <si>
    <t>SHERIFF DONATIONS</t>
  </si>
  <si>
    <t>OTHER GRANT EXPENDITURES</t>
  </si>
  <si>
    <t>ATTORNEY DONATIONS</t>
  </si>
  <si>
    <t>44700-9200</t>
  </si>
  <si>
    <t>TRANSFER TO FD 220 (MUNICIPAL BLDG AUTHORITY)</t>
  </si>
  <si>
    <t>TRANSFER TO FD 274 (CONTRACT LAW ENFORCE)</t>
  </si>
  <si>
    <t>TRANSFER TO FD 400 (CONVENTION CENTER)</t>
  </si>
  <si>
    <t>3470X</t>
  </si>
  <si>
    <t>TRANSFER FROM UTAH COUNTY GOVT (FD 100)</t>
  </si>
  <si>
    <t>49241-7410</t>
  </si>
  <si>
    <t>TRANSFER TO FD 400 (HISTORIC COURTHOUSE)</t>
  </si>
  <si>
    <t>TRANSFER FROM FD 281 (CONVENTION CENTER)</t>
  </si>
  <si>
    <t>TRANSFER FROM FD 281 (HISTORIC COURTHOUSE)</t>
  </si>
  <si>
    <t>aDDAPT (210)</t>
  </si>
  <si>
    <t>TRANSFER TO FD 210 (aDDAPT)</t>
  </si>
  <si>
    <t>TRANSFER FROM FD 630 (BUILDING MAINTENANCE)</t>
  </si>
  <si>
    <t>MATC LEASE PAYMENT</t>
  </si>
  <si>
    <t>FRANCHISE TAXES</t>
  </si>
  <si>
    <t>33280</t>
  </si>
  <si>
    <t>SHERIFF CORRECTIONS ALCOHOL FUNDS</t>
  </si>
  <si>
    <t>35101</t>
  </si>
  <si>
    <t>PARKING TICKETS</t>
  </si>
  <si>
    <t>43350-1XXX</t>
  </si>
  <si>
    <t>43350-7410</t>
  </si>
  <si>
    <t>FIRE GRANT EXPENDITURES</t>
  </si>
  <si>
    <t>38701</t>
  </si>
  <si>
    <t>42250-1XXX</t>
  </si>
  <si>
    <t>42250-7410</t>
  </si>
  <si>
    <t>INMATE BENEFIT (273)</t>
  </si>
  <si>
    <t>42730-1XXX</t>
  </si>
  <si>
    <t>42730-7410</t>
  </si>
  <si>
    <t>FREEDOM FESTIVAL</t>
  </si>
  <si>
    <t>SPANISH FORK FAIRGROUNDS</t>
  </si>
  <si>
    <t>47120-8100</t>
  </si>
  <si>
    <t>47120-8200</t>
  </si>
  <si>
    <t>FISCAL AGENT FEES</t>
  </si>
  <si>
    <t>47121-8100</t>
  </si>
  <si>
    <t>47121-8200</t>
  </si>
  <si>
    <t>REVENUE BOND PRINCIPAL PAYMENTS</t>
  </si>
  <si>
    <t>REVENUE BOND INTEREST PAYMENTS</t>
  </si>
  <si>
    <t>GENERAL OBLIGATION BOND PRINCIPAL PAYMENTS</t>
  </si>
  <si>
    <t>GENERAL OBLIGATION BOND INTEREST PAYMENTS</t>
  </si>
  <si>
    <t>TRANSFER FROM FD 650 (RADIO)</t>
  </si>
  <si>
    <t>MOSQUITO ABATEMENT BUILDING</t>
  </si>
  <si>
    <t>EAGLE MOUNTAIN COMMUNICATIONS TOWER</t>
  </si>
  <si>
    <t>SEWER CONNECTION</t>
  </si>
  <si>
    <t>FOOTHILL NORTH BUILDING</t>
  </si>
  <si>
    <t>49251-1XXX</t>
  </si>
  <si>
    <t>49251-7410</t>
  </si>
  <si>
    <t>UTAH COUNTY ART BOARD</t>
  </si>
  <si>
    <t>UTAH COUNTY PARKS AND TRAILS</t>
  </si>
  <si>
    <t>UTAH VALLEY ROADS SSD</t>
  </si>
  <si>
    <t>47121-3100</t>
  </si>
  <si>
    <t>REVENUE BOND PROFESSIONAL SERVICES</t>
  </si>
  <si>
    <t>43350-9100</t>
  </si>
  <si>
    <t>TRANSFER FROM FD 210 (aDDAPT)</t>
  </si>
  <si>
    <t>FISCAL YEAR 2015</t>
  </si>
  <si>
    <t>34271</t>
  </si>
  <si>
    <t>E911 SURCHARGE</t>
  </si>
  <si>
    <t xml:space="preserve">   Personnel</t>
  </si>
  <si>
    <t xml:space="preserve">   Capital Equipment</t>
  </si>
  <si>
    <t xml:space="preserve">   Other Materials, Supplies, Services</t>
  </si>
  <si>
    <t xml:space="preserve">   Charges from Internal Service Funds</t>
  </si>
  <si>
    <t>GENERAL FUND (100), continued</t>
  </si>
  <si>
    <t xml:space="preserve">   Personnel (excluding overtime)</t>
  </si>
  <si>
    <t xml:space="preserve">   Overtime</t>
  </si>
  <si>
    <t>33282</t>
  </si>
  <si>
    <t>SHERIFF VOCA GRANTS</t>
  </si>
  <si>
    <t>49211-9500</t>
  </si>
  <si>
    <t>PAYMENT TO CITIES FOR FIRE PROTECTION</t>
  </si>
  <si>
    <t>MUSEUM AT THANKSGIVING POINT</t>
  </si>
  <si>
    <t>45620-9500</t>
  </si>
  <si>
    <t>TRANSFER TO FD 290 (ASSESSING &amp; COLLECTING)</t>
  </si>
  <si>
    <t>47120-9100</t>
  </si>
  <si>
    <t>TRANSFER TO FD 391 (REVENUE DEBT SERVICE)</t>
  </si>
  <si>
    <t>TRANSFER FROM FD 390 (GO DEBT SERVICE)</t>
  </si>
  <si>
    <t>31160</t>
  </si>
  <si>
    <t>PROPERTY TAXES ASSIGNED TO RDA</t>
  </si>
  <si>
    <t>INTERGOVERNMENTAL REVENUE (MOSQUITO)</t>
  </si>
  <si>
    <t>41120-9500</t>
  </si>
  <si>
    <t>3427X</t>
  </si>
  <si>
    <t>CONTRIBUTION TO UTAH VALLEY DISPATCH SSD</t>
  </si>
  <si>
    <t>CONTRIBUTION TO REDEVELOPMENT AGENCIES</t>
  </si>
  <si>
    <t>MOSQUITO ABATEMENT GRANT EXPENDITURES</t>
  </si>
  <si>
    <t>INTERGOVERNMENTAL REVENUE (UNASSIGNED)</t>
  </si>
  <si>
    <t>CHARGES FOR SERVICES (IT DEPARTMENT)</t>
  </si>
  <si>
    <t>38703</t>
  </si>
  <si>
    <t>PUBLIC WORKS DONATIONS</t>
  </si>
  <si>
    <t>UNASSIGNED GRANT EXPENDITURES</t>
  </si>
  <si>
    <t>MCAT PROGRAMMING EXPENDITURES</t>
  </si>
  <si>
    <t>SECTION 2216 SALES TAX - COUNTY PORTION</t>
  </si>
  <si>
    <t>SECTION 2216 SALES TAX - UTA PORTION</t>
  </si>
  <si>
    <t>SECTION 2218 SALES TAX</t>
  </si>
  <si>
    <t>SECTION 2208 SALES TAX - UTA</t>
  </si>
  <si>
    <t>31360-1000</t>
  </si>
  <si>
    <t>31365</t>
  </si>
  <si>
    <t>SECTION 2216 SALES TAX ROAD PROJECTS</t>
  </si>
  <si>
    <t>SECTION 2218 SALES TAX ROAD PROJECTS</t>
  </si>
  <si>
    <t>SECTION 2218 SALES TAX BOND EXPENDITURES</t>
  </si>
  <si>
    <t>44166-9500</t>
  </si>
  <si>
    <t>PASS-THRU FUNDING TO UTAH TRANSIT AUTHORITY</t>
  </si>
  <si>
    <t>44160-9500</t>
  </si>
  <si>
    <t>31364</t>
  </si>
  <si>
    <t>34247</t>
  </si>
  <si>
    <t>MOUNTAINLANDS HEALTH BUILDING</t>
  </si>
  <si>
    <t>LAND PURCHASES</t>
  </si>
  <si>
    <t>34701</t>
  </si>
  <si>
    <t>PARK FEES</t>
  </si>
  <si>
    <t>FINAL</t>
  </si>
  <si>
    <t>TRANSFER TO FD 247 (ROADS)</t>
  </si>
  <si>
    <t>35221</t>
  </si>
  <si>
    <t>SHERIFF FORFEITURES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</si>
</sst>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000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color indexed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color indexed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0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/>
    <xf numFmtId="1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0" applyFont="1"/>
    <xf numFmtId="0" fontId="6" fillId="0" borderId="0" xfId="0" applyFont="1" applyFill="1" applyBorder="1"/>
    <xf numFmtId="164" fontId="7" fillId="0" borderId="1" xfId="1" applyNumberFormat="1" applyFont="1" applyFill="1" applyBorder="1"/>
    <xf numFmtId="164" fontId="7" fillId="0" borderId="2" xfId="1" applyNumberFormat="1" applyFont="1" applyFill="1" applyBorder="1"/>
    <xf numFmtId="164" fontId="6" fillId="0" borderId="3" xfId="1" applyNumberFormat="1" applyFont="1" applyFill="1" applyBorder="1"/>
    <xf numFmtId="164" fontId="7" fillId="0" borderId="0" xfId="1" applyNumberFormat="1" applyFont="1" applyFill="1" applyBorder="1"/>
    <xf numFmtId="0" fontId="6" fillId="0" borderId="0" xfId="0" quotePrefix="1" applyFont="1" applyFill="1" applyBorder="1"/>
    <xf numFmtId="164" fontId="7" fillId="0" borderId="4" xfId="1" applyNumberFormat="1" applyFont="1" applyFill="1" applyBorder="1"/>
    <xf numFmtId="8" fontId="7" fillId="0" borderId="0" xfId="1" applyNumberFormat="1" applyFont="1" applyFill="1" applyBorder="1"/>
    <xf numFmtId="164" fontId="9" fillId="0" borderId="1" xfId="1" applyNumberFormat="1" applyFont="1" applyFill="1" applyBorder="1"/>
    <xf numFmtId="164" fontId="8" fillId="0" borderId="0" xfId="1" applyNumberFormat="1" applyFont="1" applyFill="1" applyBorder="1"/>
    <xf numFmtId="164" fontId="7" fillId="0" borderId="5" xfId="1" applyNumberFormat="1" applyFont="1" applyFill="1" applyBorder="1"/>
    <xf numFmtId="164" fontId="8" fillId="0" borderId="6" xfId="1" applyNumberFormat="1" applyFont="1" applyFill="1" applyBorder="1"/>
    <xf numFmtId="165" fontId="2" fillId="0" borderId="0" xfId="0" applyNumberFormat="1" applyFont="1" applyBorder="1"/>
    <xf numFmtId="164" fontId="7" fillId="0" borderId="7" xfId="1" applyNumberFormat="1" applyFont="1" applyFill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9" fillId="0" borderId="5" xfId="1" applyNumberFormat="1" applyFont="1" applyFill="1" applyBorder="1"/>
    <xf numFmtId="164" fontId="6" fillId="0" borderId="6" xfId="1" applyNumberFormat="1" applyFont="1" applyFill="1" applyBorder="1"/>
    <xf numFmtId="164" fontId="9" fillId="0" borderId="0" xfId="1" applyNumberFormat="1" applyFont="1" applyFill="1" applyBorder="1"/>
    <xf numFmtId="164" fontId="7" fillId="0" borderId="10" xfId="1" applyNumberFormat="1" applyFont="1" applyFill="1" applyBorder="1"/>
    <xf numFmtId="164" fontId="9" fillId="0" borderId="10" xfId="1" applyNumberFormat="1" applyFont="1" applyFill="1" applyBorder="1"/>
    <xf numFmtId="0" fontId="0" fillId="0" borderId="0" xfId="0" applyFill="1"/>
    <xf numFmtId="164" fontId="11" fillId="0" borderId="0" xfId="1" applyNumberFormat="1" applyFont="1" applyFill="1" applyBorder="1"/>
    <xf numFmtId="164" fontId="4" fillId="0" borderId="9" xfId="1" applyNumberFormat="1" applyFont="1" applyFill="1" applyBorder="1"/>
    <xf numFmtId="1" fontId="3" fillId="0" borderId="0" xfId="1" applyNumberFormat="1" applyFont="1" applyFill="1" applyBorder="1" applyAlignment="1" applyProtection="1">
      <alignment horizontal="center"/>
      <protection locked="0"/>
    </xf>
    <xf numFmtId="14" fontId="10" fillId="0" borderId="11" xfId="0" applyNumberFormat="1" applyFont="1" applyFill="1" applyBorder="1" applyAlignment="1" applyProtection="1">
      <alignment horizontal="center"/>
      <protection locked="0"/>
    </xf>
    <xf numFmtId="164" fontId="10" fillId="0" borderId="12" xfId="1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6" fontId="7" fillId="0" borderId="1" xfId="0" applyNumberFormat="1" applyFont="1" applyFill="1" applyBorder="1" applyAlignment="1" applyProtection="1">
      <alignment horizontal="right"/>
      <protection locked="0"/>
    </xf>
    <xf numFmtId="6" fontId="7" fillId="0" borderId="10" xfId="0" applyNumberFormat="1" applyFont="1" applyFill="1" applyBorder="1" applyAlignment="1" applyProtection="1">
      <alignment horizontal="right"/>
      <protection locked="0"/>
    </xf>
    <xf numFmtId="6" fontId="7" fillId="0" borderId="13" xfId="0" applyNumberFormat="1" applyFont="1" applyFill="1" applyBorder="1" applyAlignment="1" applyProtection="1">
      <alignment horizontal="right"/>
      <protection locked="0"/>
    </xf>
    <xf numFmtId="6" fontId="7" fillId="0" borderId="0" xfId="0" applyNumberFormat="1" applyFont="1" applyFill="1" applyBorder="1" applyAlignment="1" applyProtection="1">
      <alignment horizontal="right"/>
      <protection locked="0"/>
    </xf>
    <xf numFmtId="6" fontId="6" fillId="0" borderId="0" xfId="0" applyNumberFormat="1" applyFont="1" applyFill="1" applyProtection="1">
      <protection locked="0"/>
    </xf>
    <xf numFmtId="6" fontId="7" fillId="0" borderId="1" xfId="0" applyNumberFormat="1" applyFont="1" applyFill="1" applyBorder="1" applyProtection="1">
      <protection locked="0"/>
    </xf>
    <xf numFmtId="6" fontId="7" fillId="0" borderId="6" xfId="0" applyNumberFormat="1" applyFont="1" applyFill="1" applyBorder="1" applyProtection="1">
      <protection locked="0"/>
    </xf>
    <xf numFmtId="6" fontId="7" fillId="0" borderId="0" xfId="0" applyNumberFormat="1" applyFont="1" applyFill="1" applyBorder="1" applyProtection="1">
      <protection locked="0"/>
    </xf>
    <xf numFmtId="6" fontId="9" fillId="0" borderId="5" xfId="0" applyNumberFormat="1" applyFont="1" applyFill="1" applyBorder="1" applyProtection="1">
      <protection locked="0"/>
    </xf>
    <xf numFmtId="6" fontId="9" fillId="0" borderId="6" xfId="0" applyNumberFormat="1" applyFont="1" applyFill="1" applyBorder="1" applyProtection="1">
      <protection locked="0"/>
    </xf>
    <xf numFmtId="6" fontId="9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Fill="1" applyProtection="1">
      <protection locked="0"/>
    </xf>
    <xf numFmtId="14" fontId="10" fillId="0" borderId="11" xfId="0" applyNumberFormat="1" applyFont="1" applyFill="1" applyBorder="1" applyAlignment="1" applyProtection="1">
      <alignment horizontal="center"/>
    </xf>
    <xf numFmtId="164" fontId="10" fillId="0" borderId="12" xfId="1" applyNumberFormat="1" applyFont="1" applyFill="1" applyBorder="1" applyAlignment="1" applyProtection="1">
      <alignment horizontal="center"/>
    </xf>
    <xf numFmtId="6" fontId="7" fillId="0" borderId="6" xfId="0" applyNumberFormat="1" applyFont="1" applyFill="1" applyBorder="1" applyProtection="1"/>
    <xf numFmtId="6" fontId="9" fillId="0" borderId="6" xfId="0" applyNumberFormat="1" applyFont="1" applyFill="1" applyBorder="1" applyProtection="1"/>
    <xf numFmtId="0" fontId="5" fillId="0" borderId="1" xfId="0" applyFont="1" applyBorder="1"/>
    <xf numFmtId="164" fontId="6" fillId="0" borderId="0" xfId="1" applyNumberFormat="1" applyFont="1" applyFill="1" applyBorder="1"/>
    <xf numFmtId="6" fontId="7" fillId="0" borderId="5" xfId="0" applyNumberFormat="1" applyFont="1" applyFill="1" applyBorder="1" applyAlignment="1" applyProtection="1">
      <alignment horizontal="right"/>
      <protection locked="0"/>
    </xf>
    <xf numFmtId="6" fontId="7" fillId="0" borderId="5" xfId="0" applyNumberFormat="1" applyFont="1" applyFill="1" applyBorder="1" applyProtection="1">
      <protection locked="0"/>
    </xf>
    <xf numFmtId="6" fontId="0" fillId="0" borderId="0" xfId="0" applyNumberFormat="1" applyFill="1" applyProtection="1">
      <protection locked="0"/>
    </xf>
    <xf numFmtId="6" fontId="0" fillId="0" borderId="0" xfId="0" applyNumberFormat="1" applyProtection="1">
      <protection locked="0"/>
    </xf>
    <xf numFmtId="8" fontId="0" fillId="0" borderId="0" xfId="0" applyNumberFormat="1" applyFill="1" applyProtection="1">
      <protection locked="0"/>
    </xf>
    <xf numFmtId="164" fontId="11" fillId="2" borderId="2" xfId="1" applyNumberFormat="1" applyFont="1" applyFill="1" applyBorder="1"/>
    <xf numFmtId="6" fontId="11" fillId="2" borderId="1" xfId="0" applyNumberFormat="1" applyFont="1" applyFill="1" applyBorder="1" applyAlignment="1" applyProtection="1">
      <alignment horizontal="right"/>
      <protection locked="0"/>
    </xf>
    <xf numFmtId="164" fontId="13" fillId="0" borderId="9" xfId="1" applyNumberFormat="1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0" fontId="2" fillId="0" borderId="0" xfId="0" applyFont="1" applyFill="1" applyBorder="1"/>
    <xf numFmtId="164" fontId="5" fillId="0" borderId="4" xfId="1" applyNumberFormat="1" applyFont="1" applyFill="1" applyBorder="1"/>
    <xf numFmtId="6" fontId="5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/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5"/>
  <sheetViews>
    <sheetView tabSelected="1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3.85546875" style="5" bestFit="1" customWidth="1"/>
    <col min="2" max="2" width="60.28515625" style="5" customWidth="1"/>
    <col min="3" max="3" width="16.140625" style="34" bestFit="1" customWidth="1"/>
    <col min="4" max="4" width="16.7109375" style="34" bestFit="1" customWidth="1"/>
    <col min="5" max="5" width="16.7109375" bestFit="1" customWidth="1"/>
    <col min="6" max="6" width="12.140625" customWidth="1"/>
    <col min="7" max="7" width="10" customWidth="1"/>
    <col min="8" max="8" width="13.42578125" bestFit="1" customWidth="1"/>
    <col min="9" max="9" width="14" bestFit="1" customWidth="1"/>
  </cols>
  <sheetData>
    <row r="1" spans="1:5" ht="19.5" x14ac:dyDescent="0.4">
      <c r="A1" s="18"/>
      <c r="B1" s="2" t="s">
        <v>0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21" thickTop="1" thickBot="1" x14ac:dyDescent="0.45">
      <c r="A4" s="1"/>
      <c r="B4" s="29" t="s">
        <v>20</v>
      </c>
      <c r="C4" s="33"/>
      <c r="D4" s="33"/>
    </row>
    <row r="5" spans="1:5" ht="16.5" thickTop="1" x14ac:dyDescent="0.25">
      <c r="A5" s="64"/>
      <c r="B5" s="4" t="s">
        <v>2</v>
      </c>
    </row>
    <row r="6" spans="1:5" ht="15.75" x14ac:dyDescent="0.25">
      <c r="A6" s="64" t="s">
        <v>277</v>
      </c>
      <c r="B6" s="7" t="s">
        <v>187</v>
      </c>
      <c r="C6" s="35">
        <v>29314108.34</v>
      </c>
      <c r="D6" s="35">
        <v>29800000</v>
      </c>
      <c r="E6" s="35">
        <v>30000000</v>
      </c>
    </row>
    <row r="7" spans="1:5" ht="15.75" x14ac:dyDescent="0.25">
      <c r="A7" s="67" t="s">
        <v>265</v>
      </c>
      <c r="B7" s="7" t="s">
        <v>166</v>
      </c>
      <c r="C7" s="35">
        <v>1647755.05</v>
      </c>
      <c r="D7" s="35">
        <v>1120000</v>
      </c>
      <c r="E7" s="35">
        <v>1660000</v>
      </c>
    </row>
    <row r="8" spans="1:5" ht="15.75" x14ac:dyDescent="0.25">
      <c r="A8" s="67" t="s">
        <v>266</v>
      </c>
      <c r="B8" s="7" t="s">
        <v>167</v>
      </c>
      <c r="C8" s="35">
        <v>20183105.550000001</v>
      </c>
      <c r="D8" s="35">
        <v>21123000</v>
      </c>
      <c r="E8" s="35">
        <v>21757000</v>
      </c>
    </row>
    <row r="9" spans="1:5" ht="15.75" x14ac:dyDescent="0.25">
      <c r="A9" s="67" t="s">
        <v>283</v>
      </c>
      <c r="B9" s="7" t="s">
        <v>419</v>
      </c>
      <c r="C9" s="35">
        <v>5205.33</v>
      </c>
      <c r="D9" s="35">
        <v>4000</v>
      </c>
      <c r="E9" s="35">
        <v>4000</v>
      </c>
    </row>
    <row r="10" spans="1:5" ht="15.75" x14ac:dyDescent="0.25">
      <c r="A10" s="67" t="s">
        <v>113</v>
      </c>
      <c r="B10" s="7" t="s">
        <v>114</v>
      </c>
      <c r="C10" s="35">
        <v>33383.9</v>
      </c>
      <c r="D10" s="35">
        <v>48000</v>
      </c>
      <c r="E10" s="35">
        <v>32000</v>
      </c>
    </row>
    <row r="11" spans="1:5" ht="15.75" x14ac:dyDescent="0.25">
      <c r="A11" s="67" t="s">
        <v>339</v>
      </c>
      <c r="B11" s="7" t="s">
        <v>340</v>
      </c>
      <c r="C11" s="35">
        <v>166090.78</v>
      </c>
      <c r="D11" s="35">
        <v>165000</v>
      </c>
      <c r="E11" s="35">
        <v>140000</v>
      </c>
    </row>
    <row r="12" spans="1:5" ht="15.75" x14ac:dyDescent="0.25">
      <c r="A12" s="67" t="s">
        <v>267</v>
      </c>
      <c r="B12" s="7" t="s">
        <v>182</v>
      </c>
      <c r="C12" s="35">
        <v>103440</v>
      </c>
      <c r="D12" s="35">
        <v>105000</v>
      </c>
      <c r="E12" s="35">
        <v>165000</v>
      </c>
    </row>
    <row r="13" spans="1:5" ht="15.75" x14ac:dyDescent="0.25">
      <c r="A13" s="67" t="s">
        <v>362</v>
      </c>
      <c r="B13" s="7" t="s">
        <v>363</v>
      </c>
      <c r="C13" s="35">
        <v>3816</v>
      </c>
      <c r="D13" s="35">
        <v>3816</v>
      </c>
      <c r="E13" s="35">
        <v>11592</v>
      </c>
    </row>
    <row r="14" spans="1:5" ht="15.75" x14ac:dyDescent="0.25">
      <c r="A14" s="67" t="s">
        <v>268</v>
      </c>
      <c r="B14" s="7" t="s">
        <v>364</v>
      </c>
      <c r="C14" s="35">
        <v>71404</v>
      </c>
      <c r="D14" s="35">
        <v>0</v>
      </c>
      <c r="E14" s="35">
        <v>90000</v>
      </c>
    </row>
    <row r="15" spans="1:5" ht="15.75" x14ac:dyDescent="0.25">
      <c r="A15" s="67" t="s">
        <v>420</v>
      </c>
      <c r="B15" s="7" t="s">
        <v>421</v>
      </c>
      <c r="C15" s="35">
        <v>243681.71</v>
      </c>
      <c r="D15" s="35">
        <v>240143</v>
      </c>
      <c r="E15" s="35">
        <v>257695</v>
      </c>
    </row>
    <row r="16" spans="1:5" ht="15.75" x14ac:dyDescent="0.25">
      <c r="A16" s="67" t="s">
        <v>468</v>
      </c>
      <c r="B16" s="62" t="s">
        <v>469</v>
      </c>
      <c r="C16" s="35">
        <v>0</v>
      </c>
      <c r="D16" s="35">
        <v>0</v>
      </c>
      <c r="E16" s="35">
        <v>12000</v>
      </c>
    </row>
    <row r="17" spans="1:5" ht="15.75" x14ac:dyDescent="0.25">
      <c r="A17" s="67" t="s">
        <v>269</v>
      </c>
      <c r="B17" s="7" t="s">
        <v>9</v>
      </c>
      <c r="C17" s="35">
        <v>498525</v>
      </c>
      <c r="D17" s="35">
        <v>512808</v>
      </c>
      <c r="E17" s="35">
        <v>520000</v>
      </c>
    </row>
    <row r="18" spans="1:5" ht="15.75" x14ac:dyDescent="0.25">
      <c r="A18" s="67" t="s">
        <v>270</v>
      </c>
      <c r="B18" s="7" t="s">
        <v>324</v>
      </c>
      <c r="C18" s="35">
        <v>92738.45</v>
      </c>
      <c r="D18" s="35">
        <v>85000</v>
      </c>
      <c r="E18" s="35">
        <v>85000</v>
      </c>
    </row>
    <row r="19" spans="1:5" ht="15.75" x14ac:dyDescent="0.25">
      <c r="A19" s="67" t="s">
        <v>322</v>
      </c>
      <c r="B19" s="7" t="s">
        <v>354</v>
      </c>
      <c r="C19" s="35">
        <v>107111.75</v>
      </c>
      <c r="D19" s="35">
        <v>140000</v>
      </c>
      <c r="E19" s="35">
        <v>115000</v>
      </c>
    </row>
    <row r="20" spans="1:5" ht="15.75" x14ac:dyDescent="0.25">
      <c r="A20" s="67" t="s">
        <v>346</v>
      </c>
      <c r="B20" s="7" t="s">
        <v>347</v>
      </c>
      <c r="C20" s="35">
        <v>13149.9</v>
      </c>
      <c r="D20" s="35">
        <v>14000</v>
      </c>
      <c r="E20" s="35">
        <v>14000</v>
      </c>
    </row>
    <row r="21" spans="1:5" ht="15.75" x14ac:dyDescent="0.25">
      <c r="A21" s="67" t="s">
        <v>341</v>
      </c>
      <c r="B21" s="7" t="s">
        <v>3</v>
      </c>
      <c r="C21" s="35">
        <v>203928.78</v>
      </c>
      <c r="D21" s="35">
        <v>0</v>
      </c>
      <c r="E21" s="35">
        <v>0</v>
      </c>
    </row>
    <row r="22" spans="1:5" ht="15.75" x14ac:dyDescent="0.25">
      <c r="A22" s="64" t="s">
        <v>10</v>
      </c>
      <c r="B22" s="7" t="s">
        <v>348</v>
      </c>
      <c r="C22" s="35">
        <v>12060</v>
      </c>
      <c r="D22" s="35">
        <v>12000</v>
      </c>
      <c r="E22" s="35">
        <v>6500</v>
      </c>
    </row>
    <row r="23" spans="1:5" ht="15.75" x14ac:dyDescent="0.25">
      <c r="A23" s="64" t="s">
        <v>349</v>
      </c>
      <c r="B23" s="7" t="s">
        <v>350</v>
      </c>
      <c r="C23" s="35">
        <v>52902.1</v>
      </c>
      <c r="D23" s="35">
        <v>55000</v>
      </c>
      <c r="E23" s="35">
        <v>45855</v>
      </c>
    </row>
    <row r="24" spans="1:5" ht="15.75" x14ac:dyDescent="0.25">
      <c r="A24" s="67" t="s">
        <v>351</v>
      </c>
      <c r="B24" s="7" t="s">
        <v>317</v>
      </c>
      <c r="C24" s="35">
        <v>25017.65</v>
      </c>
      <c r="D24" s="35">
        <v>26242</v>
      </c>
      <c r="E24" s="35">
        <v>25000</v>
      </c>
    </row>
    <row r="25" spans="1:5" ht="15.75" x14ac:dyDescent="0.25">
      <c r="A25" s="64" t="s">
        <v>11</v>
      </c>
      <c r="B25" s="7" t="s">
        <v>4</v>
      </c>
      <c r="C25" s="35">
        <v>187315.53</v>
      </c>
      <c r="D25" s="35">
        <v>205049</v>
      </c>
      <c r="E25" s="35">
        <v>179800</v>
      </c>
    </row>
    <row r="26" spans="1:5" ht="15.75" x14ac:dyDescent="0.25">
      <c r="A26" s="64" t="s">
        <v>12</v>
      </c>
      <c r="B26" s="7" t="s">
        <v>13</v>
      </c>
      <c r="C26" s="35">
        <v>17049.63</v>
      </c>
      <c r="D26" s="35">
        <v>18000</v>
      </c>
      <c r="E26" s="35">
        <v>18000</v>
      </c>
    </row>
    <row r="27" spans="1:5" ht="15.75" x14ac:dyDescent="0.25">
      <c r="A27" s="64" t="s">
        <v>15</v>
      </c>
      <c r="B27" s="7" t="s">
        <v>14</v>
      </c>
      <c r="C27" s="35">
        <v>89450</v>
      </c>
      <c r="D27" s="35">
        <v>100000</v>
      </c>
      <c r="E27" s="35">
        <v>95000</v>
      </c>
    </row>
    <row r="28" spans="1:5" ht="15.75" x14ac:dyDescent="0.25">
      <c r="A28" s="64" t="s">
        <v>16</v>
      </c>
      <c r="B28" s="7" t="s">
        <v>17</v>
      </c>
      <c r="C28" s="35">
        <v>65712.13</v>
      </c>
      <c r="D28" s="35">
        <v>27000</v>
      </c>
      <c r="E28" s="35">
        <v>160000</v>
      </c>
    </row>
    <row r="29" spans="1:5" ht="15.75" x14ac:dyDescent="0.25">
      <c r="A29" s="67" t="s">
        <v>352</v>
      </c>
      <c r="B29" s="7" t="s">
        <v>198</v>
      </c>
      <c r="C29" s="35">
        <v>107748.32</v>
      </c>
      <c r="D29" s="35">
        <v>111591</v>
      </c>
      <c r="E29" s="35">
        <v>110000</v>
      </c>
    </row>
    <row r="30" spans="1:5" ht="15.75" x14ac:dyDescent="0.25">
      <c r="A30" s="67" t="s">
        <v>353</v>
      </c>
      <c r="B30" s="7" t="s">
        <v>323</v>
      </c>
      <c r="C30" s="35">
        <v>296948.71000000002</v>
      </c>
      <c r="D30" s="35">
        <v>198197</v>
      </c>
      <c r="E30" s="35">
        <v>198000</v>
      </c>
    </row>
    <row r="31" spans="1:5" ht="15.75" x14ac:dyDescent="0.25">
      <c r="A31" s="67" t="s">
        <v>355</v>
      </c>
      <c r="B31" s="7" t="s">
        <v>356</v>
      </c>
      <c r="C31" s="35">
        <v>654121.97</v>
      </c>
      <c r="D31" s="35">
        <v>670466</v>
      </c>
      <c r="E31" s="35">
        <v>665000</v>
      </c>
    </row>
    <row r="32" spans="1:5" ht="15.75" x14ac:dyDescent="0.25">
      <c r="A32" s="67" t="s">
        <v>366</v>
      </c>
      <c r="B32" s="7" t="s">
        <v>365</v>
      </c>
      <c r="C32" s="35">
        <v>1603770.43</v>
      </c>
      <c r="D32" s="35">
        <v>1839967</v>
      </c>
      <c r="E32" s="35">
        <v>2035259</v>
      </c>
    </row>
    <row r="33" spans="1:5" ht="15.75" x14ac:dyDescent="0.25">
      <c r="A33" s="67" t="s">
        <v>459</v>
      </c>
      <c r="B33" s="7" t="s">
        <v>460</v>
      </c>
      <c r="C33" s="35">
        <v>1615021.6</v>
      </c>
      <c r="D33" s="35">
        <v>0</v>
      </c>
      <c r="E33" s="35">
        <v>0</v>
      </c>
    </row>
    <row r="34" spans="1:5" ht="15.75" x14ac:dyDescent="0.25">
      <c r="A34" s="64" t="s">
        <v>366</v>
      </c>
      <c r="B34" s="7" t="s">
        <v>357</v>
      </c>
      <c r="C34" s="35">
        <v>1057250.6100000001</v>
      </c>
      <c r="D34" s="35">
        <v>1306724</v>
      </c>
      <c r="E34" s="35">
        <v>1307444</v>
      </c>
    </row>
    <row r="35" spans="1:5" ht="15.75" x14ac:dyDescent="0.25">
      <c r="A35" s="64" t="s">
        <v>359</v>
      </c>
      <c r="B35" s="7" t="s">
        <v>358</v>
      </c>
      <c r="C35" s="35">
        <v>8039694.0700000003</v>
      </c>
      <c r="D35" s="35">
        <v>8590996</v>
      </c>
      <c r="E35" s="35">
        <v>8638500</v>
      </c>
    </row>
    <row r="36" spans="1:5" ht="15.75" x14ac:dyDescent="0.25">
      <c r="A36" s="67" t="s">
        <v>272</v>
      </c>
      <c r="B36" s="7" t="s">
        <v>250</v>
      </c>
      <c r="C36" s="35">
        <v>26616.05</v>
      </c>
      <c r="D36" s="35">
        <v>15000</v>
      </c>
      <c r="E36" s="35">
        <v>8500</v>
      </c>
    </row>
    <row r="37" spans="1:5" ht="15.75" x14ac:dyDescent="0.25">
      <c r="A37" s="67" t="s">
        <v>273</v>
      </c>
      <c r="B37" s="7" t="s">
        <v>325</v>
      </c>
      <c r="C37" s="35">
        <v>1391</v>
      </c>
      <c r="D37" s="35">
        <v>1200</v>
      </c>
      <c r="E37" s="35">
        <v>1200</v>
      </c>
    </row>
    <row r="38" spans="1:5" ht="15.75" x14ac:dyDescent="0.25">
      <c r="A38" s="67" t="s">
        <v>508</v>
      </c>
      <c r="B38" s="62" t="s">
        <v>509</v>
      </c>
      <c r="C38" s="35">
        <v>159476.1</v>
      </c>
      <c r="D38" s="35">
        <v>0</v>
      </c>
      <c r="E38" s="35">
        <v>0</v>
      </c>
    </row>
    <row r="39" spans="1:5" ht="15.75" x14ac:dyDescent="0.25">
      <c r="A39" s="67" t="s">
        <v>422</v>
      </c>
      <c r="B39" s="7" t="s">
        <v>423</v>
      </c>
      <c r="C39" s="35">
        <v>110</v>
      </c>
      <c r="D39" s="35">
        <v>30</v>
      </c>
      <c r="E39" s="35">
        <v>0</v>
      </c>
    </row>
    <row r="40" spans="1:5" ht="15.75" x14ac:dyDescent="0.25">
      <c r="A40" s="67" t="s">
        <v>274</v>
      </c>
      <c r="B40" s="7" t="s">
        <v>368</v>
      </c>
      <c r="C40" s="35">
        <v>2104655.61</v>
      </c>
      <c r="D40" s="35">
        <v>2149970</v>
      </c>
      <c r="E40" s="35">
        <v>2100000</v>
      </c>
    </row>
    <row r="41" spans="1:5" ht="15.75" x14ac:dyDescent="0.25">
      <c r="A41" s="67" t="s">
        <v>275</v>
      </c>
      <c r="B41" s="7" t="s">
        <v>108</v>
      </c>
      <c r="C41" s="35">
        <v>730227.36</v>
      </c>
      <c r="D41" s="35">
        <v>765000</v>
      </c>
      <c r="E41" s="35">
        <v>735000</v>
      </c>
    </row>
    <row r="42" spans="1:5" ht="15.75" x14ac:dyDescent="0.25">
      <c r="A42" s="64" t="s">
        <v>367</v>
      </c>
      <c r="B42" s="7" t="s">
        <v>369</v>
      </c>
      <c r="C42" s="35">
        <v>26646.6</v>
      </c>
      <c r="D42" s="35">
        <v>25000</v>
      </c>
      <c r="E42" s="35">
        <v>20000</v>
      </c>
    </row>
    <row r="43" spans="1:5" ht="15.75" x14ac:dyDescent="0.25">
      <c r="A43" s="64" t="s">
        <v>119</v>
      </c>
      <c r="B43" s="7" t="s">
        <v>120</v>
      </c>
      <c r="C43" s="35">
        <v>495581.5</v>
      </c>
      <c r="D43" s="35">
        <v>273667</v>
      </c>
      <c r="E43" s="35">
        <v>365000</v>
      </c>
    </row>
    <row r="44" spans="1:5" ht="15.75" x14ac:dyDescent="0.25">
      <c r="A44" s="67" t="s">
        <v>106</v>
      </c>
      <c r="B44" s="7" t="s">
        <v>291</v>
      </c>
      <c r="C44" s="35">
        <v>2590117</v>
      </c>
      <c r="D44" s="35">
        <v>2596500</v>
      </c>
      <c r="E44" s="35">
        <v>2844000</v>
      </c>
    </row>
    <row r="45" spans="1:5" ht="15.75" x14ac:dyDescent="0.25">
      <c r="A45" s="67" t="s">
        <v>106</v>
      </c>
      <c r="B45" s="7" t="s">
        <v>292</v>
      </c>
      <c r="C45" s="35">
        <v>444581.56</v>
      </c>
      <c r="D45" s="35">
        <v>553089</v>
      </c>
      <c r="E45" s="35">
        <v>666520</v>
      </c>
    </row>
    <row r="46" spans="1:5" ht="15.75" x14ac:dyDescent="0.25">
      <c r="A46" s="67" t="s">
        <v>106</v>
      </c>
      <c r="B46" s="7" t="s">
        <v>149</v>
      </c>
      <c r="C46" s="35">
        <v>0</v>
      </c>
      <c r="D46" s="35">
        <v>314900</v>
      </c>
      <c r="E46" s="35">
        <v>0</v>
      </c>
    </row>
    <row r="47" spans="1:5" ht="15.75" x14ac:dyDescent="0.25">
      <c r="A47" s="67" t="s">
        <v>255</v>
      </c>
      <c r="B47" s="7" t="s">
        <v>286</v>
      </c>
      <c r="C47" s="35">
        <v>1080.5</v>
      </c>
      <c r="D47" s="35">
        <v>3000</v>
      </c>
      <c r="E47" s="35">
        <v>1000</v>
      </c>
    </row>
    <row r="48" spans="1:5" ht="16.5" thickBot="1" x14ac:dyDescent="0.3">
      <c r="A48" s="67" t="s">
        <v>228</v>
      </c>
      <c r="B48" s="7" t="s">
        <v>189</v>
      </c>
      <c r="C48" s="36">
        <v>0</v>
      </c>
      <c r="D48" s="36">
        <v>1527371</v>
      </c>
      <c r="E48" s="36">
        <v>3879450</v>
      </c>
    </row>
    <row r="49" spans="1:5" ht="17.25" thickTop="1" thickBot="1" x14ac:dyDescent="0.3">
      <c r="A49" s="64"/>
      <c r="B49" s="9" t="s">
        <v>6</v>
      </c>
      <c r="C49" s="37">
        <f>SUM(C6:C48)</f>
        <v>73091990.570000008</v>
      </c>
      <c r="D49" s="37">
        <f>SUM(D6:D48)</f>
        <v>74746726</v>
      </c>
      <c r="E49" s="37">
        <v>78968315</v>
      </c>
    </row>
    <row r="50" spans="1:5" ht="17.25" thickTop="1" thickBot="1" x14ac:dyDescent="0.3">
      <c r="A50" s="64"/>
      <c r="B50" s="28"/>
      <c r="C50" s="38"/>
      <c r="D50" s="38"/>
      <c r="E50" s="38"/>
    </row>
    <row r="51" spans="1:5" ht="21" thickTop="1" thickBot="1" x14ac:dyDescent="0.45">
      <c r="A51" s="64"/>
      <c r="B51" s="61" t="s">
        <v>465</v>
      </c>
      <c r="C51" s="38"/>
      <c r="D51" s="38"/>
      <c r="E51" s="38"/>
    </row>
    <row r="52" spans="1:5" ht="16.5" thickTop="1" x14ac:dyDescent="0.25">
      <c r="A52" s="64"/>
      <c r="B52" s="4" t="s">
        <v>7</v>
      </c>
      <c r="E52" s="34"/>
    </row>
    <row r="53" spans="1:5" ht="15.75" x14ac:dyDescent="0.25">
      <c r="A53" s="67" t="s">
        <v>22</v>
      </c>
      <c r="B53" s="7" t="s">
        <v>21</v>
      </c>
      <c r="C53" s="35">
        <v>945916.48</v>
      </c>
      <c r="D53" s="35">
        <f>SUM(D54:D57)</f>
        <v>1015136</v>
      </c>
      <c r="E53" s="35">
        <v>1063787</v>
      </c>
    </row>
    <row r="54" spans="1:5" ht="15.75" x14ac:dyDescent="0.25">
      <c r="A54" s="67"/>
      <c r="B54" s="59" t="s">
        <v>461</v>
      </c>
      <c r="C54" s="60">
        <v>752205.13</v>
      </c>
      <c r="D54" s="60">
        <f>800987+7410</f>
        <v>808397</v>
      </c>
      <c r="E54" s="60">
        <v>838221</v>
      </c>
    </row>
    <row r="55" spans="1:5" ht="15.75" x14ac:dyDescent="0.25">
      <c r="A55" s="67"/>
      <c r="B55" s="59" t="s">
        <v>464</v>
      </c>
      <c r="C55" s="60">
        <v>81649.070000000007</v>
      </c>
      <c r="D55" s="60">
        <v>70093</v>
      </c>
      <c r="E55" s="60">
        <v>72111</v>
      </c>
    </row>
    <row r="56" spans="1:5" ht="15.75" x14ac:dyDescent="0.25">
      <c r="A56" s="67"/>
      <c r="B56" s="59" t="s">
        <v>462</v>
      </c>
      <c r="C56" s="60">
        <v>0</v>
      </c>
      <c r="D56" s="60">
        <v>0</v>
      </c>
      <c r="E56" s="60">
        <v>0</v>
      </c>
    </row>
    <row r="57" spans="1:5" ht="15.75" x14ac:dyDescent="0.25">
      <c r="A57" s="67"/>
      <c r="B57" s="59" t="s">
        <v>463</v>
      </c>
      <c r="C57" s="60">
        <f>C53-SUM(C54:C56)</f>
        <v>112062.28000000003</v>
      </c>
      <c r="D57" s="60">
        <f>995415+19721-808397-70093</f>
        <v>136646</v>
      </c>
      <c r="E57" s="60">
        <v>153455</v>
      </c>
    </row>
    <row r="58" spans="1:5" ht="15.75" x14ac:dyDescent="0.25">
      <c r="A58" s="67" t="s">
        <v>24</v>
      </c>
      <c r="B58" s="8" t="s">
        <v>23</v>
      </c>
      <c r="C58" s="35">
        <v>1052807.77</v>
      </c>
      <c r="D58" s="35">
        <f>SUM(D59:D62)</f>
        <v>1148789</v>
      </c>
      <c r="E58" s="35">
        <v>1200553</v>
      </c>
    </row>
    <row r="59" spans="1:5" ht="15.75" x14ac:dyDescent="0.25">
      <c r="A59" s="67"/>
      <c r="B59" s="59" t="s">
        <v>461</v>
      </c>
      <c r="C59" s="60">
        <v>819499.73</v>
      </c>
      <c r="D59" s="60">
        <f>866382+13650</f>
        <v>880032</v>
      </c>
      <c r="E59" s="60">
        <v>933169</v>
      </c>
    </row>
    <row r="60" spans="1:5" ht="15.75" x14ac:dyDescent="0.25">
      <c r="A60" s="67"/>
      <c r="B60" s="59" t="s">
        <v>464</v>
      </c>
      <c r="C60" s="60">
        <v>151992.20000000001</v>
      </c>
      <c r="D60" s="60">
        <v>180032</v>
      </c>
      <c r="E60" s="60">
        <v>185450</v>
      </c>
    </row>
    <row r="61" spans="1:5" ht="15.75" x14ac:dyDescent="0.25">
      <c r="A61" s="67"/>
      <c r="B61" s="59" t="s">
        <v>462</v>
      </c>
      <c r="C61" s="60">
        <v>0</v>
      </c>
      <c r="D61" s="60">
        <v>9299</v>
      </c>
      <c r="E61" s="60">
        <v>0</v>
      </c>
    </row>
    <row r="62" spans="1:5" ht="15.75" x14ac:dyDescent="0.25">
      <c r="A62" s="67"/>
      <c r="B62" s="59" t="s">
        <v>463</v>
      </c>
      <c r="C62" s="60">
        <f>C58-SUM(C59:C61)</f>
        <v>81315.840000000084</v>
      </c>
      <c r="D62" s="60">
        <f>1131620+17169-880032-180032-9299</f>
        <v>79426</v>
      </c>
      <c r="E62" s="60">
        <v>81934</v>
      </c>
    </row>
    <row r="63" spans="1:5" ht="15.75" x14ac:dyDescent="0.25">
      <c r="A63" s="67" t="s">
        <v>26</v>
      </c>
      <c r="B63" s="8" t="s">
        <v>25</v>
      </c>
      <c r="C63" s="35">
        <v>1553710.65</v>
      </c>
      <c r="D63" s="35">
        <f>SUM(D64:D67)</f>
        <v>1206899</v>
      </c>
      <c r="E63" s="35">
        <v>1079375</v>
      </c>
    </row>
    <row r="64" spans="1:5" ht="15.75" x14ac:dyDescent="0.25">
      <c r="A64" s="67"/>
      <c r="B64" s="59" t="s">
        <v>461</v>
      </c>
      <c r="C64" s="60">
        <v>795081.58</v>
      </c>
      <c r="D64" s="60">
        <f>862580+23905</f>
        <v>886485</v>
      </c>
      <c r="E64" s="60">
        <v>956984</v>
      </c>
    </row>
    <row r="65" spans="1:5" ht="15.75" x14ac:dyDescent="0.25">
      <c r="A65" s="67"/>
      <c r="B65" s="59" t="s">
        <v>464</v>
      </c>
      <c r="C65" s="60">
        <v>361724.37</v>
      </c>
      <c r="D65" s="60">
        <f>79618+131489</f>
        <v>211107</v>
      </c>
      <c r="E65" s="60">
        <v>82837</v>
      </c>
    </row>
    <row r="66" spans="1:5" ht="15.75" x14ac:dyDescent="0.25">
      <c r="A66" s="67"/>
      <c r="B66" s="59" t="s">
        <v>462</v>
      </c>
      <c r="C66" s="60">
        <v>0</v>
      </c>
      <c r="D66" s="60">
        <v>0</v>
      </c>
      <c r="E66" s="60">
        <v>0</v>
      </c>
    </row>
    <row r="67" spans="1:5" ht="15.75" x14ac:dyDescent="0.25">
      <c r="A67" s="67"/>
      <c r="B67" s="59" t="s">
        <v>463</v>
      </c>
      <c r="C67" s="60">
        <f>C63-SUM(C64:C66)</f>
        <v>396904.69999999995</v>
      </c>
      <c r="D67" s="60">
        <f>983366+223533-886485-211107</f>
        <v>109307</v>
      </c>
      <c r="E67" s="60">
        <v>39554</v>
      </c>
    </row>
    <row r="68" spans="1:5" ht="15.75" x14ac:dyDescent="0.25">
      <c r="A68" s="67" t="s">
        <v>326</v>
      </c>
      <c r="B68" s="8" t="s">
        <v>315</v>
      </c>
      <c r="C68" s="35">
        <v>685772.52</v>
      </c>
      <c r="D68" s="35">
        <f>SUM(D69:D72)</f>
        <v>720427</v>
      </c>
      <c r="E68" s="35">
        <v>727310</v>
      </c>
    </row>
    <row r="69" spans="1:5" ht="15.75" x14ac:dyDescent="0.25">
      <c r="A69" s="67"/>
      <c r="B69" s="59" t="s">
        <v>461</v>
      </c>
      <c r="C69" s="60">
        <v>548079.56999999995</v>
      </c>
      <c r="D69" s="60">
        <v>563837</v>
      </c>
      <c r="E69" s="60">
        <v>596801</v>
      </c>
    </row>
    <row r="70" spans="1:5" ht="15.75" x14ac:dyDescent="0.25">
      <c r="A70" s="67"/>
      <c r="B70" s="59" t="s">
        <v>464</v>
      </c>
      <c r="C70" s="60">
        <v>47291.86</v>
      </c>
      <c r="D70" s="60">
        <v>56825</v>
      </c>
      <c r="E70" s="60">
        <v>46995</v>
      </c>
    </row>
    <row r="71" spans="1:5" ht="15.75" x14ac:dyDescent="0.25">
      <c r="A71" s="67"/>
      <c r="B71" s="59" t="s">
        <v>462</v>
      </c>
      <c r="C71" s="60">
        <v>9565</v>
      </c>
      <c r="D71" s="60">
        <v>0</v>
      </c>
      <c r="E71" s="60">
        <v>0</v>
      </c>
    </row>
    <row r="72" spans="1:5" ht="15.75" x14ac:dyDescent="0.25">
      <c r="A72" s="67"/>
      <c r="B72" s="59" t="s">
        <v>463</v>
      </c>
      <c r="C72" s="60">
        <f>C68-SUM(C69:C71)</f>
        <v>80836.090000000084</v>
      </c>
      <c r="D72" s="60">
        <f>702287+18140-563837-56825</f>
        <v>99765</v>
      </c>
      <c r="E72" s="60">
        <v>83514</v>
      </c>
    </row>
    <row r="73" spans="1:5" ht="15.75" x14ac:dyDescent="0.25">
      <c r="A73" s="67" t="s">
        <v>27</v>
      </c>
      <c r="B73" s="8" t="s">
        <v>110</v>
      </c>
      <c r="C73" s="35">
        <v>377242.09</v>
      </c>
      <c r="D73" s="35">
        <f>SUM(D74:D77)</f>
        <v>408581</v>
      </c>
      <c r="E73" s="35">
        <v>377482</v>
      </c>
    </row>
    <row r="74" spans="1:5" ht="15.75" x14ac:dyDescent="0.25">
      <c r="A74" s="67"/>
      <c r="B74" s="59" t="s">
        <v>461</v>
      </c>
      <c r="C74" s="60">
        <v>230021.9</v>
      </c>
      <c r="D74" s="60">
        <v>232070</v>
      </c>
      <c r="E74" s="60">
        <v>237591</v>
      </c>
    </row>
    <row r="75" spans="1:5" ht="15.75" x14ac:dyDescent="0.25">
      <c r="A75" s="67"/>
      <c r="B75" s="59" t="s">
        <v>464</v>
      </c>
      <c r="C75" s="60">
        <v>127587.71</v>
      </c>
      <c r="D75" s="60">
        <f>111697+41343</f>
        <v>153040</v>
      </c>
      <c r="E75" s="60">
        <v>119448</v>
      </c>
    </row>
    <row r="76" spans="1:5" ht="15.75" x14ac:dyDescent="0.25">
      <c r="A76" s="67"/>
      <c r="B76" s="59" t="s">
        <v>462</v>
      </c>
      <c r="C76" s="60">
        <v>0</v>
      </c>
      <c r="D76" s="60">
        <v>0</v>
      </c>
      <c r="E76" s="60">
        <v>0</v>
      </c>
    </row>
    <row r="77" spans="1:5" ht="15.75" x14ac:dyDescent="0.25">
      <c r="A77" s="67"/>
      <c r="B77" s="59" t="s">
        <v>463</v>
      </c>
      <c r="C77" s="60">
        <f>C73-SUM(C74:C76)</f>
        <v>19632.48000000004</v>
      </c>
      <c r="D77" s="60">
        <f>364238+44343-232070-153040</f>
        <v>23471</v>
      </c>
      <c r="E77" s="60">
        <v>20443</v>
      </c>
    </row>
    <row r="78" spans="1:5" ht="15.75" x14ac:dyDescent="0.25">
      <c r="A78" s="67" t="s">
        <v>28</v>
      </c>
      <c r="B78" s="8" t="s">
        <v>201</v>
      </c>
      <c r="C78" s="35">
        <v>719925.64</v>
      </c>
      <c r="D78" s="35">
        <f>SUM(D79:D82)</f>
        <v>782370</v>
      </c>
      <c r="E78" s="35">
        <v>848079</v>
      </c>
    </row>
    <row r="79" spans="1:5" ht="15.75" x14ac:dyDescent="0.25">
      <c r="A79" s="67"/>
      <c r="B79" s="59" t="s">
        <v>461</v>
      </c>
      <c r="C79" s="60">
        <v>613004.56000000006</v>
      </c>
      <c r="D79" s="60">
        <v>643223</v>
      </c>
      <c r="E79" s="60">
        <v>752930</v>
      </c>
    </row>
    <row r="80" spans="1:5" ht="15.75" x14ac:dyDescent="0.25">
      <c r="A80" s="67"/>
      <c r="B80" s="59" t="s">
        <v>464</v>
      </c>
      <c r="C80" s="60">
        <v>88510.51</v>
      </c>
      <c r="D80" s="60">
        <f>67882+51703</f>
        <v>119585</v>
      </c>
      <c r="E80" s="60">
        <v>72289</v>
      </c>
    </row>
    <row r="81" spans="1:5" ht="15.75" x14ac:dyDescent="0.25">
      <c r="A81" s="67"/>
      <c r="B81" s="59" t="s">
        <v>462</v>
      </c>
      <c r="C81" s="60">
        <v>0</v>
      </c>
      <c r="D81" s="60">
        <v>0</v>
      </c>
      <c r="E81" s="60">
        <v>0</v>
      </c>
    </row>
    <row r="82" spans="1:5" ht="15.75" x14ac:dyDescent="0.25">
      <c r="A82" s="67"/>
      <c r="B82" s="59" t="s">
        <v>463</v>
      </c>
      <c r="C82" s="60">
        <f>C78-SUM(C79:C81)</f>
        <v>18410.569999999949</v>
      </c>
      <c r="D82" s="60">
        <f>730667+51703-643223-119585</f>
        <v>19562</v>
      </c>
      <c r="E82" s="60">
        <v>22860</v>
      </c>
    </row>
    <row r="83" spans="1:5" ht="15.75" x14ac:dyDescent="0.25">
      <c r="A83" s="67" t="s">
        <v>199</v>
      </c>
      <c r="B83" s="8" t="s">
        <v>202</v>
      </c>
      <c r="C83" s="35">
        <v>211360.31</v>
      </c>
      <c r="D83" s="35">
        <f>SUM(D84:D87)</f>
        <v>252032</v>
      </c>
      <c r="E83" s="35">
        <v>292640</v>
      </c>
    </row>
    <row r="84" spans="1:5" ht="15.75" x14ac:dyDescent="0.25">
      <c r="A84" s="67"/>
      <c r="B84" s="59" t="s">
        <v>461</v>
      </c>
      <c r="C84" s="60">
        <v>185086.33</v>
      </c>
      <c r="D84" s="60">
        <f>232587-6219</f>
        <v>226368</v>
      </c>
      <c r="E84" s="60">
        <v>263131</v>
      </c>
    </row>
    <row r="85" spans="1:5" ht="15.75" x14ac:dyDescent="0.25">
      <c r="A85" s="67"/>
      <c r="B85" s="59" t="s">
        <v>464</v>
      </c>
      <c r="C85" s="60">
        <v>13103.94</v>
      </c>
      <c r="D85" s="60">
        <f>13796+50</f>
        <v>13846</v>
      </c>
      <c r="E85" s="60">
        <v>14583</v>
      </c>
    </row>
    <row r="86" spans="1:5" ht="15.75" x14ac:dyDescent="0.25">
      <c r="A86" s="67"/>
      <c r="B86" s="59" t="s">
        <v>462</v>
      </c>
      <c r="C86" s="60">
        <v>0</v>
      </c>
      <c r="D86" s="60">
        <v>0</v>
      </c>
      <c r="E86" s="60">
        <v>0</v>
      </c>
    </row>
    <row r="87" spans="1:5" ht="15.75" x14ac:dyDescent="0.25">
      <c r="A87" s="67"/>
      <c r="B87" s="59" t="s">
        <v>463</v>
      </c>
      <c r="C87" s="60">
        <f>C83-SUM(C84:C86)</f>
        <v>13170.040000000008</v>
      </c>
      <c r="D87" s="60">
        <f>257683-5651-226368-13846</f>
        <v>11818</v>
      </c>
      <c r="E87" s="60">
        <v>14926</v>
      </c>
    </row>
    <row r="88" spans="1:5" ht="15.75" x14ac:dyDescent="0.25">
      <c r="A88" s="67" t="s">
        <v>251</v>
      </c>
      <c r="B88" s="8" t="s">
        <v>34</v>
      </c>
      <c r="C88" s="35">
        <v>6175487.0199999996</v>
      </c>
      <c r="D88" s="35">
        <f>SUM(D89:D92)</f>
        <v>6652548</v>
      </c>
      <c r="E88" s="35">
        <v>7055751</v>
      </c>
    </row>
    <row r="89" spans="1:5" ht="15.75" x14ac:dyDescent="0.25">
      <c r="A89" s="67"/>
      <c r="B89" s="59" t="s">
        <v>461</v>
      </c>
      <c r="C89" s="60">
        <v>5580925.4000000004</v>
      </c>
      <c r="D89" s="60">
        <v>5899010</v>
      </c>
      <c r="E89" s="60">
        <v>6311262</v>
      </c>
    </row>
    <row r="90" spans="1:5" ht="15.75" x14ac:dyDescent="0.25">
      <c r="A90" s="67"/>
      <c r="B90" s="59" t="s">
        <v>464</v>
      </c>
      <c r="C90" s="60">
        <v>386534.71</v>
      </c>
      <c r="D90" s="60">
        <v>467643</v>
      </c>
      <c r="E90" s="60">
        <v>491246</v>
      </c>
    </row>
    <row r="91" spans="1:5" ht="15.75" x14ac:dyDescent="0.25">
      <c r="A91" s="67"/>
      <c r="B91" s="59" t="s">
        <v>462</v>
      </c>
      <c r="C91" s="60">
        <v>0</v>
      </c>
      <c r="D91" s="60">
        <v>0</v>
      </c>
      <c r="E91" s="60">
        <v>0</v>
      </c>
    </row>
    <row r="92" spans="1:5" ht="15.75" x14ac:dyDescent="0.25">
      <c r="A92" s="67"/>
      <c r="B92" s="59" t="s">
        <v>463</v>
      </c>
      <c r="C92" s="60">
        <f>C88-SUM(C89:C91)</f>
        <v>208026.90999999922</v>
      </c>
      <c r="D92" s="60">
        <f>6652548-5899010-467643</f>
        <v>285895</v>
      </c>
      <c r="E92" s="60">
        <v>253243</v>
      </c>
    </row>
    <row r="93" spans="1:5" ht="15.75" x14ac:dyDescent="0.25">
      <c r="A93" s="67" t="s">
        <v>37</v>
      </c>
      <c r="B93" s="8" t="s">
        <v>38</v>
      </c>
      <c r="C93" s="35">
        <v>826705.57</v>
      </c>
      <c r="D93" s="35">
        <f>SUM(D94:D97)</f>
        <v>2665664</v>
      </c>
      <c r="E93" s="35">
        <v>2896723</v>
      </c>
    </row>
    <row r="94" spans="1:5" ht="15.75" x14ac:dyDescent="0.25">
      <c r="A94" s="67"/>
      <c r="B94" s="59" t="s">
        <v>461</v>
      </c>
      <c r="C94" s="60">
        <v>6605</v>
      </c>
      <c r="D94" s="60">
        <f>1350735-195334</f>
        <v>1155401</v>
      </c>
      <c r="E94" s="60">
        <v>1771993</v>
      </c>
    </row>
    <row r="95" spans="1:5" ht="15.75" x14ac:dyDescent="0.25">
      <c r="A95" s="67"/>
      <c r="B95" s="59" t="s">
        <v>464</v>
      </c>
      <c r="C95" s="60">
        <v>0</v>
      </c>
      <c r="D95" s="60">
        <v>0</v>
      </c>
      <c r="E95" s="60">
        <v>440200</v>
      </c>
    </row>
    <row r="96" spans="1:5" ht="15.75" x14ac:dyDescent="0.25">
      <c r="A96" s="67"/>
      <c r="B96" s="59" t="s">
        <v>462</v>
      </c>
      <c r="C96" s="60">
        <v>0</v>
      </c>
      <c r="D96" s="60">
        <v>0</v>
      </c>
      <c r="E96" s="60">
        <v>0</v>
      </c>
    </row>
    <row r="97" spans="1:5" ht="15.75" x14ac:dyDescent="0.25">
      <c r="A97" s="67"/>
      <c r="B97" s="59" t="s">
        <v>463</v>
      </c>
      <c r="C97" s="60">
        <f>C93-SUM(C94:C96)</f>
        <v>820100.57</v>
      </c>
      <c r="D97" s="60">
        <f>2665664-1155401</f>
        <v>1510263</v>
      </c>
      <c r="E97" s="60">
        <v>684530</v>
      </c>
    </row>
    <row r="98" spans="1:5" ht="15.75" x14ac:dyDescent="0.25">
      <c r="A98" s="67" t="s">
        <v>39</v>
      </c>
      <c r="B98" s="8" t="s">
        <v>40</v>
      </c>
      <c r="C98" s="35">
        <v>6429241.5499999998</v>
      </c>
      <c r="D98" s="35">
        <v>5526318</v>
      </c>
      <c r="E98" s="35">
        <v>6496025</v>
      </c>
    </row>
    <row r="99" spans="1:5" ht="15.75" x14ac:dyDescent="0.25">
      <c r="A99" s="67"/>
      <c r="B99" s="59" t="s">
        <v>463</v>
      </c>
      <c r="C99" s="60">
        <f>C98</f>
        <v>6429241.5499999998</v>
      </c>
      <c r="D99" s="60">
        <f>5282248+244070</f>
        <v>5526318</v>
      </c>
      <c r="E99" s="60">
        <v>6496025</v>
      </c>
    </row>
    <row r="100" spans="1:5" ht="15.75" x14ac:dyDescent="0.25">
      <c r="A100" s="67" t="s">
        <v>41</v>
      </c>
      <c r="B100" s="8" t="s">
        <v>42</v>
      </c>
      <c r="C100" s="35">
        <v>548789.35</v>
      </c>
      <c r="D100" s="35">
        <f>SUM(D101:D104)</f>
        <v>867364</v>
      </c>
      <c r="E100" s="35">
        <v>571252</v>
      </c>
    </row>
    <row r="101" spans="1:5" ht="15.75" x14ac:dyDescent="0.25">
      <c r="A101" s="67"/>
      <c r="B101" s="59" t="s">
        <v>461</v>
      </c>
      <c r="C101" s="60">
        <v>303089.59999999998</v>
      </c>
      <c r="D101" s="60">
        <f>357128+6136</f>
        <v>363264</v>
      </c>
      <c r="E101" s="60">
        <v>359164</v>
      </c>
    </row>
    <row r="102" spans="1:5" ht="15.75" x14ac:dyDescent="0.25">
      <c r="A102" s="67"/>
      <c r="B102" s="59" t="s">
        <v>464</v>
      </c>
      <c r="C102" s="60">
        <v>170618.03</v>
      </c>
      <c r="D102" s="60">
        <f>101531+45873</f>
        <v>147404</v>
      </c>
      <c r="E102" s="60">
        <v>118911</v>
      </c>
    </row>
    <row r="103" spans="1:5" ht="15.75" x14ac:dyDescent="0.25">
      <c r="A103" s="67"/>
      <c r="B103" s="59" t="s">
        <v>462</v>
      </c>
      <c r="C103" s="60">
        <v>12846</v>
      </c>
      <c r="D103" s="60">
        <v>0</v>
      </c>
      <c r="E103" s="60">
        <v>0</v>
      </c>
    </row>
    <row r="104" spans="1:5" ht="15.75" x14ac:dyDescent="0.25">
      <c r="A104" s="67"/>
      <c r="B104" s="59" t="s">
        <v>463</v>
      </c>
      <c r="C104" s="60">
        <f>C100-SUM(C101:C103)</f>
        <v>62235.719999999972</v>
      </c>
      <c r="D104" s="60">
        <f>780790+86574-363264-147404</f>
        <v>356696</v>
      </c>
      <c r="E104" s="60">
        <v>93177</v>
      </c>
    </row>
    <row r="105" spans="1:5" ht="15.75" x14ac:dyDescent="0.25">
      <c r="A105" s="64" t="s">
        <v>327</v>
      </c>
      <c r="B105" s="8" t="s">
        <v>328</v>
      </c>
      <c r="C105" s="35">
        <v>723604.94</v>
      </c>
      <c r="D105" s="35">
        <f>SUM(D106:D109)</f>
        <v>826408</v>
      </c>
      <c r="E105" s="35">
        <v>851960</v>
      </c>
    </row>
    <row r="106" spans="1:5" ht="15.75" x14ac:dyDescent="0.25">
      <c r="A106" s="64"/>
      <c r="B106" s="59" t="s">
        <v>461</v>
      </c>
      <c r="C106" s="60">
        <v>596386.69999999995</v>
      </c>
      <c r="D106" s="60">
        <v>626853</v>
      </c>
      <c r="E106" s="60">
        <v>720056</v>
      </c>
    </row>
    <row r="107" spans="1:5" ht="15.75" x14ac:dyDescent="0.25">
      <c r="A107" s="64"/>
      <c r="B107" s="59" t="s">
        <v>464</v>
      </c>
      <c r="C107" s="60">
        <v>83552.41</v>
      </c>
      <c r="D107" s="60">
        <v>117345</v>
      </c>
      <c r="E107" s="60">
        <v>86065</v>
      </c>
    </row>
    <row r="108" spans="1:5" ht="15.75" x14ac:dyDescent="0.25">
      <c r="A108" s="64"/>
      <c r="B108" s="59" t="s">
        <v>462</v>
      </c>
      <c r="C108" s="60">
        <v>0</v>
      </c>
      <c r="D108" s="60">
        <v>0</v>
      </c>
      <c r="E108" s="60">
        <v>0</v>
      </c>
    </row>
    <row r="109" spans="1:5" ht="16.5" thickBot="1" x14ac:dyDescent="0.3">
      <c r="A109" s="64"/>
      <c r="B109" s="59" t="s">
        <v>463</v>
      </c>
      <c r="C109" s="60">
        <f>C105-SUM(C106:C108)</f>
        <v>43665.829999999958</v>
      </c>
      <c r="D109" s="60">
        <f>826408-626853-117345</f>
        <v>82210</v>
      </c>
      <c r="E109" s="60">
        <v>45839</v>
      </c>
    </row>
    <row r="110" spans="1:5" ht="21" thickTop="1" thickBot="1" x14ac:dyDescent="0.45">
      <c r="A110" s="64"/>
      <c r="B110" s="61" t="s">
        <v>465</v>
      </c>
      <c r="C110" s="38"/>
      <c r="D110" s="38"/>
      <c r="E110" s="38"/>
    </row>
    <row r="111" spans="1:5" ht="16.5" thickTop="1" x14ac:dyDescent="0.25">
      <c r="A111" s="67" t="s">
        <v>248</v>
      </c>
      <c r="B111" s="8" t="s">
        <v>288</v>
      </c>
      <c r="C111" s="35">
        <v>14547671.51</v>
      </c>
      <c r="D111" s="35">
        <f>SUM(D112:D116)</f>
        <v>15660126</v>
      </c>
      <c r="E111" s="35">
        <v>15910931</v>
      </c>
    </row>
    <row r="112" spans="1:5" ht="15.75" x14ac:dyDescent="0.25">
      <c r="A112" s="67"/>
      <c r="B112" s="59" t="s">
        <v>466</v>
      </c>
      <c r="C112" s="60">
        <v>11039375.670000002</v>
      </c>
      <c r="D112" s="60">
        <f>11962632+127330-496573</f>
        <v>11593389</v>
      </c>
      <c r="E112" s="60">
        <v>12095239</v>
      </c>
    </row>
    <row r="113" spans="1:5" ht="15.75" x14ac:dyDescent="0.25">
      <c r="A113" s="67"/>
      <c r="B113" s="59" t="s">
        <v>467</v>
      </c>
      <c r="C113" s="60">
        <v>390470.79</v>
      </c>
      <c r="D113" s="60">
        <f>505902-9329</f>
        <v>496573</v>
      </c>
      <c r="E113" s="60">
        <v>497239</v>
      </c>
    </row>
    <row r="114" spans="1:5" ht="15.75" x14ac:dyDescent="0.25">
      <c r="A114" s="67"/>
      <c r="B114" s="59" t="s">
        <v>464</v>
      </c>
      <c r="C114" s="60">
        <v>2270417.86</v>
      </c>
      <c r="D114" s="60">
        <f>2611235-12000</f>
        <v>2599235</v>
      </c>
      <c r="E114" s="60">
        <v>2681000</v>
      </c>
    </row>
    <row r="115" spans="1:5" ht="15.75" x14ac:dyDescent="0.25">
      <c r="A115" s="67"/>
      <c r="B115" s="59" t="s">
        <v>462</v>
      </c>
      <c r="C115" s="60">
        <v>1215</v>
      </c>
      <c r="D115" s="60">
        <v>79647</v>
      </c>
      <c r="E115" s="60">
        <v>1</v>
      </c>
    </row>
    <row r="116" spans="1:5" ht="15.75" x14ac:dyDescent="0.25">
      <c r="A116" s="67"/>
      <c r="B116" s="59" t="s">
        <v>463</v>
      </c>
      <c r="C116" s="60">
        <f>C111-SUM(C112:C115)</f>
        <v>846192.18999999948</v>
      </c>
      <c r="D116" s="60">
        <f>15328515+331611-11593389-496573-2599235-79647</f>
        <v>891282</v>
      </c>
      <c r="E116" s="60">
        <v>637452</v>
      </c>
    </row>
    <row r="117" spans="1:5" ht="15.75" x14ac:dyDescent="0.25">
      <c r="A117" s="64" t="s">
        <v>381</v>
      </c>
      <c r="B117" s="8" t="s">
        <v>382</v>
      </c>
      <c r="C117" s="35">
        <v>2274945.89</v>
      </c>
      <c r="D117" s="35">
        <f>SUM(D118:D122)</f>
        <v>2341609</v>
      </c>
      <c r="E117" s="35">
        <v>2341509</v>
      </c>
    </row>
    <row r="118" spans="1:5" ht="15.75" x14ac:dyDescent="0.25">
      <c r="A118" s="64"/>
      <c r="B118" s="59" t="s">
        <v>466</v>
      </c>
      <c r="C118" s="60">
        <v>845283.19000000006</v>
      </c>
      <c r="D118" s="60">
        <f>1265645-13728-396809</f>
        <v>855108</v>
      </c>
      <c r="E118" s="60">
        <v>849772</v>
      </c>
    </row>
    <row r="119" spans="1:5" ht="15.75" x14ac:dyDescent="0.25">
      <c r="A119" s="64"/>
      <c r="B119" s="59" t="s">
        <v>467</v>
      </c>
      <c r="C119" s="60">
        <v>304648.38</v>
      </c>
      <c r="D119" s="60">
        <f>432537-35728</f>
        <v>396809</v>
      </c>
      <c r="E119" s="60">
        <v>439862</v>
      </c>
    </row>
    <row r="120" spans="1:5" ht="15.75" x14ac:dyDescent="0.25">
      <c r="A120" s="64"/>
      <c r="B120" s="59" t="s">
        <v>464</v>
      </c>
      <c r="C120" s="60">
        <v>385367.27</v>
      </c>
      <c r="D120" s="60">
        <v>257158</v>
      </c>
      <c r="E120" s="60">
        <v>438281</v>
      </c>
    </row>
    <row r="121" spans="1:5" ht="15.75" x14ac:dyDescent="0.25">
      <c r="A121" s="64"/>
      <c r="B121" s="59" t="s">
        <v>462</v>
      </c>
      <c r="C121" s="60">
        <v>0</v>
      </c>
      <c r="D121" s="60">
        <v>0</v>
      </c>
      <c r="E121" s="60">
        <v>0</v>
      </c>
    </row>
    <row r="122" spans="1:5" ht="15.75" x14ac:dyDescent="0.25">
      <c r="A122" s="64"/>
      <c r="B122" s="59" t="s">
        <v>463</v>
      </c>
      <c r="C122" s="60">
        <f>C117-SUM(C118:C121)</f>
        <v>739647.05</v>
      </c>
      <c r="D122" s="60">
        <f>2152523+189086-855108-396809-257158</f>
        <v>832534</v>
      </c>
      <c r="E122" s="60">
        <v>613594</v>
      </c>
    </row>
    <row r="123" spans="1:5" ht="15.75" x14ac:dyDescent="0.25">
      <c r="A123" s="67" t="s">
        <v>249</v>
      </c>
      <c r="B123" s="8" t="s">
        <v>289</v>
      </c>
      <c r="C123" s="35">
        <v>25023257.379999999</v>
      </c>
      <c r="D123" s="35">
        <f>SUM(D124:D128)</f>
        <v>25629757</v>
      </c>
      <c r="E123" s="35">
        <v>25981545</v>
      </c>
    </row>
    <row r="124" spans="1:5" ht="15.75" x14ac:dyDescent="0.25">
      <c r="A124" s="67"/>
      <c r="B124" s="59" t="s">
        <v>466</v>
      </c>
      <c r="C124" s="60">
        <v>16835486.41</v>
      </c>
      <c r="D124" s="60">
        <f>18680373+61652-0-1547990</f>
        <v>17194035</v>
      </c>
      <c r="E124" s="60">
        <v>17745354</v>
      </c>
    </row>
    <row r="125" spans="1:5" ht="15.75" x14ac:dyDescent="0.25">
      <c r="A125" s="67"/>
      <c r="B125" s="59" t="s">
        <v>467</v>
      </c>
      <c r="C125" s="60">
        <v>1650524.53</v>
      </c>
      <c r="D125" s="60">
        <f>1549964-1974</f>
        <v>1547990</v>
      </c>
      <c r="E125" s="60">
        <v>836052</v>
      </c>
    </row>
    <row r="126" spans="1:5" ht="15.75" x14ac:dyDescent="0.25">
      <c r="A126" s="67"/>
      <c r="B126" s="59" t="s">
        <v>464</v>
      </c>
      <c r="C126" s="60">
        <v>4899797.25</v>
      </c>
      <c r="D126" s="60">
        <v>5257351</v>
      </c>
      <c r="E126" s="60">
        <v>5872736</v>
      </c>
    </row>
    <row r="127" spans="1:5" ht="15.75" x14ac:dyDescent="0.25">
      <c r="A127" s="67"/>
      <c r="B127" s="59" t="s">
        <v>462</v>
      </c>
      <c r="C127" s="60">
        <v>0</v>
      </c>
      <c r="D127" s="60">
        <v>15000</v>
      </c>
      <c r="E127" s="60">
        <v>0</v>
      </c>
    </row>
    <row r="128" spans="1:5" ht="15.75" x14ac:dyDescent="0.25">
      <c r="A128" s="67"/>
      <c r="B128" s="59" t="s">
        <v>463</v>
      </c>
      <c r="C128" s="60">
        <f>C123-SUM(C124:C127)</f>
        <v>1637449.1899999976</v>
      </c>
      <c r="D128" s="60">
        <f>25478005+151752-17194035-1547990-5257351-15000</f>
        <v>1615381</v>
      </c>
      <c r="E128" s="60">
        <v>1527403</v>
      </c>
    </row>
    <row r="129" spans="1:5" ht="15.75" x14ac:dyDescent="0.25">
      <c r="A129" s="67" t="s">
        <v>60</v>
      </c>
      <c r="B129" s="8" t="s">
        <v>360</v>
      </c>
      <c r="C129" s="35">
        <v>767489.19</v>
      </c>
      <c r="D129" s="35">
        <v>821509</v>
      </c>
      <c r="E129" s="35">
        <v>783366</v>
      </c>
    </row>
    <row r="130" spans="1:5" ht="15.75" x14ac:dyDescent="0.25">
      <c r="A130" s="67"/>
      <c r="B130" s="59" t="s">
        <v>461</v>
      </c>
      <c r="C130" s="60">
        <v>333297.8</v>
      </c>
      <c r="D130" s="60">
        <v>341650</v>
      </c>
      <c r="E130" s="60">
        <v>360886</v>
      </c>
    </row>
    <row r="131" spans="1:5" ht="15.75" x14ac:dyDescent="0.25">
      <c r="A131" s="67"/>
      <c r="B131" s="59" t="s">
        <v>464</v>
      </c>
      <c r="C131" s="60">
        <v>211798.25</v>
      </c>
      <c r="D131" s="60">
        <v>236540</v>
      </c>
      <c r="E131" s="60">
        <v>200165</v>
      </c>
    </row>
    <row r="132" spans="1:5" ht="15.75" x14ac:dyDescent="0.25">
      <c r="A132" s="67"/>
      <c r="B132" s="59" t="s">
        <v>462</v>
      </c>
      <c r="C132" s="60">
        <v>0</v>
      </c>
      <c r="D132" s="60">
        <v>0</v>
      </c>
      <c r="E132" s="60">
        <v>0</v>
      </c>
    </row>
    <row r="133" spans="1:5" ht="15.75" x14ac:dyDescent="0.25">
      <c r="A133" s="67"/>
      <c r="B133" s="59" t="s">
        <v>463</v>
      </c>
      <c r="C133" s="60">
        <f>C129-SUM(C130:C132)</f>
        <v>222393.1399999999</v>
      </c>
      <c r="D133" s="60">
        <f>D129-SUM(D130:D132)</f>
        <v>243319</v>
      </c>
      <c r="E133" s="60">
        <v>222315</v>
      </c>
    </row>
    <row r="134" spans="1:5" ht="15.75" x14ac:dyDescent="0.25">
      <c r="A134" s="67" t="s">
        <v>43</v>
      </c>
      <c r="B134" s="7" t="s">
        <v>44</v>
      </c>
      <c r="C134" s="35">
        <v>11129</v>
      </c>
      <c r="D134" s="35">
        <v>15000</v>
      </c>
      <c r="E134" s="35">
        <v>16000</v>
      </c>
    </row>
    <row r="135" spans="1:5" ht="15.75" x14ac:dyDescent="0.25">
      <c r="A135" s="67"/>
      <c r="B135" s="59" t="s">
        <v>463</v>
      </c>
      <c r="C135" s="60">
        <f>C134</f>
        <v>11129</v>
      </c>
      <c r="D135" s="60">
        <f>D134</f>
        <v>15000</v>
      </c>
      <c r="E135" s="60">
        <v>16000</v>
      </c>
    </row>
    <row r="136" spans="1:5" ht="15.75" x14ac:dyDescent="0.25">
      <c r="A136" s="67" t="s">
        <v>45</v>
      </c>
      <c r="B136" s="19" t="s">
        <v>287</v>
      </c>
      <c r="C136" s="35">
        <v>357135.26</v>
      </c>
      <c r="D136" s="35">
        <f>SUM(D137:D140)</f>
        <v>371025</v>
      </c>
      <c r="E136" s="35">
        <v>380461</v>
      </c>
    </row>
    <row r="137" spans="1:5" ht="15.75" x14ac:dyDescent="0.25">
      <c r="A137" s="67"/>
      <c r="B137" s="59" t="s">
        <v>461</v>
      </c>
      <c r="C137" s="60">
        <v>181141.35</v>
      </c>
      <c r="D137" s="60">
        <f>99741+24738</f>
        <v>124479</v>
      </c>
      <c r="E137" s="60">
        <v>148229</v>
      </c>
    </row>
    <row r="138" spans="1:5" ht="15.75" x14ac:dyDescent="0.25">
      <c r="A138" s="67"/>
      <c r="B138" s="59" t="s">
        <v>464</v>
      </c>
      <c r="C138" s="60">
        <v>160059.47</v>
      </c>
      <c r="D138" s="60">
        <v>217010</v>
      </c>
      <c r="E138" s="60">
        <v>211242</v>
      </c>
    </row>
    <row r="139" spans="1:5" ht="15.75" x14ac:dyDescent="0.25">
      <c r="A139" s="67"/>
      <c r="B139" s="59" t="s">
        <v>462</v>
      </c>
      <c r="C139" s="60">
        <v>0</v>
      </c>
      <c r="D139" s="60">
        <v>0</v>
      </c>
      <c r="E139" s="60">
        <v>0</v>
      </c>
    </row>
    <row r="140" spans="1:5" ht="15.75" x14ac:dyDescent="0.25">
      <c r="A140" s="67"/>
      <c r="B140" s="59" t="s">
        <v>463</v>
      </c>
      <c r="C140" s="60">
        <f>C136-SUM(C137:C139)</f>
        <v>15934.440000000002</v>
      </c>
      <c r="D140" s="60">
        <f>346287+24738-124479-217010</f>
        <v>29536</v>
      </c>
      <c r="E140" s="60">
        <v>20990</v>
      </c>
    </row>
    <row r="141" spans="1:5" ht="15.75" x14ac:dyDescent="0.25">
      <c r="A141" s="67" t="s">
        <v>243</v>
      </c>
      <c r="B141" s="8" t="s">
        <v>290</v>
      </c>
      <c r="C141" s="35">
        <v>148236.65</v>
      </c>
      <c r="D141" s="35">
        <v>335375</v>
      </c>
      <c r="E141" s="35">
        <v>327748</v>
      </c>
    </row>
    <row r="142" spans="1:5" ht="15.75" x14ac:dyDescent="0.25">
      <c r="A142" s="67"/>
      <c r="B142" s="59" t="s">
        <v>461</v>
      </c>
      <c r="C142" s="60">
        <v>91795.25</v>
      </c>
      <c r="D142" s="60">
        <v>249062</v>
      </c>
      <c r="E142" s="60">
        <v>256126</v>
      </c>
    </row>
    <row r="143" spans="1:5" ht="15.75" x14ac:dyDescent="0.25">
      <c r="A143" s="67"/>
      <c r="B143" s="59" t="s">
        <v>464</v>
      </c>
      <c r="C143" s="60">
        <v>50899.15</v>
      </c>
      <c r="D143" s="60">
        <v>62543</v>
      </c>
      <c r="E143" s="60">
        <v>64635</v>
      </c>
    </row>
    <row r="144" spans="1:5" ht="15.75" x14ac:dyDescent="0.25">
      <c r="A144" s="67"/>
      <c r="B144" s="59" t="s">
        <v>462</v>
      </c>
      <c r="C144" s="60">
        <v>0</v>
      </c>
      <c r="D144" s="60">
        <v>0</v>
      </c>
      <c r="E144" s="60">
        <v>0</v>
      </c>
    </row>
    <row r="145" spans="1:5" ht="15.75" x14ac:dyDescent="0.25">
      <c r="A145" s="67"/>
      <c r="B145" s="59" t="s">
        <v>463</v>
      </c>
      <c r="C145" s="60">
        <f>C141-SUM(C142:C144)</f>
        <v>5542.25</v>
      </c>
      <c r="D145" s="60">
        <f>D141-SUM(D142:D144)</f>
        <v>23770</v>
      </c>
      <c r="E145" s="60">
        <v>6987</v>
      </c>
    </row>
    <row r="146" spans="1:5" ht="15.75" x14ac:dyDescent="0.25">
      <c r="A146" s="67" t="s">
        <v>244</v>
      </c>
      <c r="B146" s="8" t="s">
        <v>313</v>
      </c>
      <c r="C146" s="35">
        <v>551386.78</v>
      </c>
      <c r="D146" s="35">
        <f>604765+5085</f>
        <v>609850</v>
      </c>
      <c r="E146" s="35">
        <v>647120</v>
      </c>
    </row>
    <row r="147" spans="1:5" ht="15.75" x14ac:dyDescent="0.25">
      <c r="A147" s="67"/>
      <c r="B147" s="59" t="s">
        <v>461</v>
      </c>
      <c r="C147" s="60">
        <v>480451.52</v>
      </c>
      <c r="D147" s="60">
        <v>512981</v>
      </c>
      <c r="E147" s="60">
        <v>566922</v>
      </c>
    </row>
    <row r="148" spans="1:5" ht="15.75" x14ac:dyDescent="0.25">
      <c r="A148" s="67"/>
      <c r="B148" s="59" t="s">
        <v>464</v>
      </c>
      <c r="C148" s="60">
        <v>63711.33</v>
      </c>
      <c r="D148" s="60">
        <v>75084</v>
      </c>
      <c r="E148" s="60">
        <v>69648</v>
      </c>
    </row>
    <row r="149" spans="1:5" ht="15.75" x14ac:dyDescent="0.25">
      <c r="A149" s="67"/>
      <c r="B149" s="59" t="s">
        <v>462</v>
      </c>
      <c r="C149" s="60">
        <v>0</v>
      </c>
      <c r="D149" s="60">
        <v>0</v>
      </c>
      <c r="E149" s="60">
        <v>0</v>
      </c>
    </row>
    <row r="150" spans="1:5" ht="15.75" x14ac:dyDescent="0.25">
      <c r="A150" s="67"/>
      <c r="B150" s="59" t="s">
        <v>463</v>
      </c>
      <c r="C150" s="60">
        <f>C146-SUM(C147:C149)</f>
        <v>7223.9300000000512</v>
      </c>
      <c r="D150" s="60">
        <f>D146-SUM(D147:D149)</f>
        <v>21785</v>
      </c>
      <c r="E150" s="60">
        <v>10550</v>
      </c>
    </row>
    <row r="151" spans="1:5" ht="15.75" x14ac:dyDescent="0.25">
      <c r="A151" s="67" t="s">
        <v>203</v>
      </c>
      <c r="B151" s="8" t="s">
        <v>204</v>
      </c>
      <c r="C151" s="35">
        <v>89983.64</v>
      </c>
      <c r="D151" s="35">
        <v>151000</v>
      </c>
      <c r="E151" s="35">
        <v>100000</v>
      </c>
    </row>
    <row r="152" spans="1:5" ht="15.75" x14ac:dyDescent="0.25">
      <c r="A152" s="67"/>
      <c r="B152" s="59" t="s">
        <v>461</v>
      </c>
      <c r="C152" s="60">
        <v>1973.84</v>
      </c>
      <c r="D152" s="60">
        <v>0</v>
      </c>
      <c r="E152" s="60">
        <v>0</v>
      </c>
    </row>
    <row r="153" spans="1:5" ht="15.75" x14ac:dyDescent="0.25">
      <c r="A153" s="67"/>
      <c r="B153" s="59" t="s">
        <v>463</v>
      </c>
      <c r="C153" s="60">
        <f>C151-C152</f>
        <v>88009.8</v>
      </c>
      <c r="D153" s="60">
        <f>D151-D152</f>
        <v>151000</v>
      </c>
      <c r="E153" s="60">
        <v>100000</v>
      </c>
    </row>
    <row r="154" spans="1:5" ht="15.75" x14ac:dyDescent="0.25">
      <c r="A154" s="67" t="s">
        <v>47</v>
      </c>
      <c r="B154" s="8" t="s">
        <v>48</v>
      </c>
      <c r="C154" s="35">
        <v>267803.53000000003</v>
      </c>
      <c r="D154" s="35">
        <v>325826</v>
      </c>
      <c r="E154" s="35">
        <v>344603</v>
      </c>
    </row>
    <row r="155" spans="1:5" ht="15.75" x14ac:dyDescent="0.25">
      <c r="A155" s="67"/>
      <c r="B155" s="59" t="s">
        <v>461</v>
      </c>
      <c r="C155" s="60">
        <v>155921.56</v>
      </c>
      <c r="D155" s="60">
        <v>180304</v>
      </c>
      <c r="E155" s="60">
        <v>189247</v>
      </c>
    </row>
    <row r="156" spans="1:5" ht="15.75" x14ac:dyDescent="0.25">
      <c r="A156" s="67"/>
      <c r="B156" s="59" t="s">
        <v>464</v>
      </c>
      <c r="C156" s="60">
        <v>93761.73</v>
      </c>
      <c r="D156" s="60">
        <v>118976</v>
      </c>
      <c r="E156" s="60">
        <v>124673</v>
      </c>
    </row>
    <row r="157" spans="1:5" ht="15.75" x14ac:dyDescent="0.25">
      <c r="A157" s="67"/>
      <c r="B157" s="59" t="s">
        <v>462</v>
      </c>
      <c r="C157" s="60">
        <v>0</v>
      </c>
      <c r="D157" s="60">
        <v>0</v>
      </c>
      <c r="E157" s="60">
        <v>0</v>
      </c>
    </row>
    <row r="158" spans="1:5" ht="15.75" x14ac:dyDescent="0.25">
      <c r="A158" s="67"/>
      <c r="B158" s="59" t="s">
        <v>463</v>
      </c>
      <c r="C158" s="60">
        <f>C154-SUM(C155:C157)</f>
        <v>18120.240000000049</v>
      </c>
      <c r="D158" s="60">
        <f>D154-SUM(D155:D157)</f>
        <v>26546</v>
      </c>
      <c r="E158" s="60">
        <v>30683</v>
      </c>
    </row>
    <row r="159" spans="1:5" ht="15.75" x14ac:dyDescent="0.25">
      <c r="A159" s="67" t="s">
        <v>49</v>
      </c>
      <c r="B159" s="8" t="s">
        <v>50</v>
      </c>
      <c r="C159" s="35">
        <v>40907.5</v>
      </c>
      <c r="D159" s="35">
        <v>55444</v>
      </c>
      <c r="E159" s="35">
        <v>64428</v>
      </c>
    </row>
    <row r="160" spans="1:5" ht="15.75" x14ac:dyDescent="0.25">
      <c r="A160" s="67"/>
      <c r="B160" s="59" t="s">
        <v>464</v>
      </c>
      <c r="C160" s="60">
        <v>21511.95</v>
      </c>
      <c r="D160" s="60">
        <v>25444</v>
      </c>
      <c r="E160" s="60">
        <v>28565</v>
      </c>
    </row>
    <row r="161" spans="1:5" ht="15.75" x14ac:dyDescent="0.25">
      <c r="A161" s="67"/>
      <c r="B161" s="59" t="s">
        <v>463</v>
      </c>
      <c r="C161" s="60">
        <f>C159-C160</f>
        <v>19395.55</v>
      </c>
      <c r="D161" s="60">
        <f>D159-D160</f>
        <v>30000</v>
      </c>
      <c r="E161" s="60">
        <v>35863</v>
      </c>
    </row>
    <row r="162" spans="1:5" ht="15.75" x14ac:dyDescent="0.25">
      <c r="A162" s="67" t="s">
        <v>195</v>
      </c>
      <c r="B162" s="12" t="s">
        <v>416</v>
      </c>
      <c r="C162" s="35">
        <v>284432.24</v>
      </c>
      <c r="D162" s="35">
        <v>463994</v>
      </c>
      <c r="E162" s="35">
        <v>470195</v>
      </c>
    </row>
    <row r="163" spans="1:5" ht="15.75" x14ac:dyDescent="0.25">
      <c r="A163" s="67" t="s">
        <v>195</v>
      </c>
      <c r="B163" s="12" t="s">
        <v>406</v>
      </c>
      <c r="C163" s="35">
        <v>42.8</v>
      </c>
      <c r="D163" s="35">
        <v>500</v>
      </c>
      <c r="E163" s="35">
        <v>500</v>
      </c>
    </row>
    <row r="164" spans="1:5" ht="15.75" x14ac:dyDescent="0.25">
      <c r="A164" s="67" t="s">
        <v>195</v>
      </c>
      <c r="B164" s="12" t="s">
        <v>111</v>
      </c>
      <c r="C164" s="35">
        <v>2527526.61</v>
      </c>
      <c r="D164" s="35">
        <v>2603843</v>
      </c>
      <c r="E164" s="35">
        <v>2647033</v>
      </c>
    </row>
    <row r="165" spans="1:5" ht="15.75" x14ac:dyDescent="0.25">
      <c r="A165" s="67" t="s">
        <v>195</v>
      </c>
      <c r="B165" s="65" t="s">
        <v>511</v>
      </c>
      <c r="C165" s="35">
        <v>0</v>
      </c>
      <c r="D165" s="35">
        <v>0</v>
      </c>
      <c r="E165" s="35">
        <v>1000000</v>
      </c>
    </row>
    <row r="166" spans="1:5" ht="15.75" x14ac:dyDescent="0.25">
      <c r="A166" s="67" t="s">
        <v>195</v>
      </c>
      <c r="B166" s="12" t="s">
        <v>112</v>
      </c>
      <c r="C166" s="35">
        <v>110534.62</v>
      </c>
      <c r="D166" s="35">
        <f>108712+1642</f>
        <v>110354</v>
      </c>
      <c r="E166" s="35">
        <v>117658</v>
      </c>
    </row>
    <row r="167" spans="1:5" ht="15.75" x14ac:dyDescent="0.25">
      <c r="A167" s="67" t="s">
        <v>195</v>
      </c>
      <c r="B167" s="12" t="s">
        <v>407</v>
      </c>
      <c r="C167" s="35">
        <v>156088.04999999999</v>
      </c>
      <c r="D167" s="35">
        <v>31368</v>
      </c>
      <c r="E167" s="35">
        <v>26676</v>
      </c>
    </row>
    <row r="168" spans="1:5" ht="15.75" x14ac:dyDescent="0.25">
      <c r="A168" s="67" t="s">
        <v>195</v>
      </c>
      <c r="B168" s="65" t="s">
        <v>474</v>
      </c>
      <c r="C168" s="35">
        <v>0</v>
      </c>
      <c r="D168" s="35">
        <v>0</v>
      </c>
      <c r="E168" s="35">
        <v>652174</v>
      </c>
    </row>
    <row r="169" spans="1:5" ht="15.75" x14ac:dyDescent="0.25">
      <c r="A169" s="67" t="s">
        <v>195</v>
      </c>
      <c r="B169" s="7" t="s">
        <v>168</v>
      </c>
      <c r="C169" s="35">
        <v>2033534.56</v>
      </c>
      <c r="D169" s="35">
        <v>2189321</v>
      </c>
      <c r="E169" s="35">
        <v>2125100</v>
      </c>
    </row>
    <row r="170" spans="1:5" ht="15.75" x14ac:dyDescent="0.25">
      <c r="A170" s="67" t="s">
        <v>195</v>
      </c>
      <c r="B170" s="7" t="s">
        <v>311</v>
      </c>
      <c r="C170" s="35">
        <v>0</v>
      </c>
      <c r="D170" s="35">
        <v>0</v>
      </c>
      <c r="E170" s="35">
        <v>0</v>
      </c>
    </row>
    <row r="171" spans="1:5" ht="15.75" x14ac:dyDescent="0.25">
      <c r="A171" s="67" t="s">
        <v>196</v>
      </c>
      <c r="B171" s="12" t="s">
        <v>197</v>
      </c>
      <c r="C171" s="35">
        <v>0</v>
      </c>
      <c r="D171" s="35">
        <f>958289-19681</f>
        <v>938608</v>
      </c>
      <c r="E171" s="35">
        <v>1517916</v>
      </c>
    </row>
    <row r="172" spans="1:5" ht="16.5" thickBot="1" x14ac:dyDescent="0.3">
      <c r="A172" s="67" t="s">
        <v>196</v>
      </c>
      <c r="B172" s="12" t="s">
        <v>235</v>
      </c>
      <c r="C172" s="36">
        <f>C49-69442669.1</f>
        <v>3649321.4700000137</v>
      </c>
      <c r="D172" s="36">
        <v>19681</v>
      </c>
      <c r="E172" s="36">
        <v>52415</v>
      </c>
    </row>
    <row r="173" spans="1:5" ht="17.25" thickTop="1" thickBot="1" x14ac:dyDescent="0.3">
      <c r="A173" s="64"/>
      <c r="B173" s="9" t="s">
        <v>51</v>
      </c>
      <c r="C173" s="37">
        <f>C53+C58+C63+C68+C73+C78+C83+C88+C93+C98+C100+C105+C111+C117+C123+C129+C134+C136+C141+C146+C151+C154+C159+SUM(C162:C172)</f>
        <v>73091990.570000008</v>
      </c>
      <c r="D173" s="37">
        <f>D53+D58+D63+D68+D73+D78+D83+D88+D93+D98+D100+D105+D111+D117+D123+D129+D134+D136+D141+D146+D151+D154+D159+SUM(D162:D172)</f>
        <v>74746726</v>
      </c>
      <c r="E173" s="37">
        <v>78968315</v>
      </c>
    </row>
    <row r="174" spans="1:5" ht="16.5" thickTop="1" x14ac:dyDescent="0.25">
      <c r="A174" s="64"/>
      <c r="B174" s="13"/>
      <c r="C174" s="58"/>
    </row>
    <row r="175" spans="1:5" ht="15.75" x14ac:dyDescent="0.25">
      <c r="A175" s="64"/>
      <c r="B175" s="13"/>
      <c r="C175" s="39">
        <f>-C49+C173</f>
        <v>0</v>
      </c>
      <c r="D175" s="39">
        <f>-D49+D173</f>
        <v>0</v>
      </c>
    </row>
    <row r="176" spans="1:5" ht="16.5" thickBot="1" x14ac:dyDescent="0.3">
      <c r="A176" s="64"/>
      <c r="B176" s="15"/>
    </row>
    <row r="177" spans="1:5" ht="21" thickTop="1" thickBot="1" x14ac:dyDescent="0.45">
      <c r="A177" s="64"/>
      <c r="B177" s="29" t="s">
        <v>415</v>
      </c>
      <c r="C177" s="68"/>
      <c r="D177" s="69"/>
    </row>
    <row r="178" spans="1:5" ht="16.5" thickTop="1" x14ac:dyDescent="0.25">
      <c r="A178" s="64"/>
      <c r="B178" s="4" t="s">
        <v>2</v>
      </c>
    </row>
    <row r="179" spans="1:5" ht="15.75" x14ac:dyDescent="0.25">
      <c r="A179" s="64" t="s">
        <v>115</v>
      </c>
      <c r="B179" s="16" t="s">
        <v>116</v>
      </c>
      <c r="C179" s="40">
        <v>4899528.0999999996</v>
      </c>
      <c r="D179" s="40">
        <v>5630178</v>
      </c>
      <c r="E179" s="35">
        <v>5940030</v>
      </c>
    </row>
    <row r="180" spans="1:5" ht="15.75" x14ac:dyDescent="0.25">
      <c r="A180" s="64" t="s">
        <v>117</v>
      </c>
      <c r="B180" s="16" t="s">
        <v>118</v>
      </c>
      <c r="C180" s="40">
        <v>2753967.06</v>
      </c>
      <c r="D180" s="40">
        <v>2556820</v>
      </c>
      <c r="E180" s="35">
        <v>2643757</v>
      </c>
    </row>
    <row r="181" spans="1:5" ht="15.75" x14ac:dyDescent="0.25">
      <c r="A181" s="64" t="s">
        <v>119</v>
      </c>
      <c r="B181" s="16" t="s">
        <v>120</v>
      </c>
      <c r="C181" s="40">
        <v>17114.5</v>
      </c>
      <c r="D181" s="40">
        <v>474222</v>
      </c>
      <c r="E181" s="35">
        <v>500000</v>
      </c>
    </row>
    <row r="182" spans="1:5" ht="15.75" x14ac:dyDescent="0.25">
      <c r="A182" s="67" t="s">
        <v>106</v>
      </c>
      <c r="B182" s="16" t="s">
        <v>121</v>
      </c>
      <c r="C182" s="40">
        <v>284432.24</v>
      </c>
      <c r="D182" s="40">
        <v>463994</v>
      </c>
      <c r="E182" s="35">
        <v>470195</v>
      </c>
    </row>
    <row r="183" spans="1:5" ht="15.75" x14ac:dyDescent="0.25">
      <c r="A183" s="67" t="s">
        <v>181</v>
      </c>
      <c r="B183" s="12" t="s">
        <v>191</v>
      </c>
      <c r="C183" s="40">
        <v>550</v>
      </c>
      <c r="D183" s="40">
        <v>10500</v>
      </c>
      <c r="E183" s="35">
        <v>500</v>
      </c>
    </row>
    <row r="184" spans="1:5" ht="16.5" thickBot="1" x14ac:dyDescent="0.3">
      <c r="A184" s="67" t="s">
        <v>228</v>
      </c>
      <c r="B184" s="7" t="s">
        <v>109</v>
      </c>
      <c r="C184" s="40">
        <v>0</v>
      </c>
      <c r="D184" s="40">
        <v>513244</v>
      </c>
      <c r="E184" s="35">
        <v>160000</v>
      </c>
    </row>
    <row r="185" spans="1:5" ht="17.25" thickTop="1" thickBot="1" x14ac:dyDescent="0.3">
      <c r="A185" s="64"/>
      <c r="B185" s="17" t="s">
        <v>6</v>
      </c>
      <c r="C185" s="41">
        <f>SUM(C179:C184)</f>
        <v>7955591.9000000004</v>
      </c>
      <c r="D185" s="41">
        <f>SUM(D179:D184)</f>
        <v>9648958</v>
      </c>
      <c r="E185" s="41">
        <v>9714482</v>
      </c>
    </row>
    <row r="186" spans="1:5" ht="16.5" thickTop="1" x14ac:dyDescent="0.25">
      <c r="A186" s="64"/>
      <c r="B186" s="10"/>
    </row>
    <row r="187" spans="1:5" ht="15.75" x14ac:dyDescent="0.25">
      <c r="A187" s="64"/>
      <c r="B187" s="4" t="s">
        <v>7</v>
      </c>
      <c r="C187" s="56"/>
    </row>
    <row r="188" spans="1:5" ht="15.75" x14ac:dyDescent="0.25">
      <c r="A188" s="67" t="s">
        <v>424</v>
      </c>
      <c r="B188" s="7" t="s">
        <v>25</v>
      </c>
      <c r="C188" s="40">
        <v>4361588.66</v>
      </c>
      <c r="D188" s="40">
        <v>4772268</v>
      </c>
      <c r="E188" s="35">
        <v>4822411</v>
      </c>
    </row>
    <row r="189" spans="1:5" ht="15.75" x14ac:dyDescent="0.25">
      <c r="A189" s="67" t="s">
        <v>53</v>
      </c>
      <c r="B189" s="16" t="s">
        <v>304</v>
      </c>
      <c r="C189" s="40">
        <v>3478064.57</v>
      </c>
      <c r="D189" s="40">
        <v>4024284</v>
      </c>
      <c r="E189" s="35">
        <v>4371071</v>
      </c>
    </row>
    <row r="190" spans="1:5" ht="15.75" x14ac:dyDescent="0.25">
      <c r="A190" s="67" t="s">
        <v>425</v>
      </c>
      <c r="B190" s="7" t="s">
        <v>234</v>
      </c>
      <c r="C190" s="40">
        <v>11711.56</v>
      </c>
      <c r="D190" s="40">
        <v>0</v>
      </c>
      <c r="E190" s="35">
        <v>21000</v>
      </c>
    </row>
    <row r="191" spans="1:5" ht="15.75" x14ac:dyDescent="0.25">
      <c r="A191" s="64" t="s">
        <v>456</v>
      </c>
      <c r="B191" s="16" t="s">
        <v>311</v>
      </c>
      <c r="C191" s="40">
        <v>50357.5</v>
      </c>
      <c r="D191" s="40">
        <v>127627</v>
      </c>
      <c r="E191" s="35">
        <v>0</v>
      </c>
    </row>
    <row r="192" spans="1:5" ht="16.5" thickBot="1" x14ac:dyDescent="0.3">
      <c r="A192" s="64" t="s">
        <v>164</v>
      </c>
      <c r="B192" s="7" t="s">
        <v>235</v>
      </c>
      <c r="C192" s="40">
        <f>C185-SUM(C188:C191)</f>
        <v>53869.610000000335</v>
      </c>
      <c r="D192" s="40">
        <v>724779</v>
      </c>
      <c r="E192" s="35">
        <v>500000</v>
      </c>
    </row>
    <row r="193" spans="1:5" ht="17.25" thickTop="1" thickBot="1" x14ac:dyDescent="0.3">
      <c r="A193" s="64"/>
      <c r="B193" s="17" t="s">
        <v>51</v>
      </c>
      <c r="C193" s="41">
        <f>SUM(C188:C192)</f>
        <v>7955591.9000000004</v>
      </c>
      <c r="D193" s="41">
        <f>SUM(D188:D192)</f>
        <v>9648958</v>
      </c>
      <c r="E193" s="41">
        <v>9714482</v>
      </c>
    </row>
    <row r="194" spans="1:5" ht="17.25" thickTop="1" thickBot="1" x14ac:dyDescent="0.3">
      <c r="A194" s="64"/>
      <c r="B194" s="15"/>
      <c r="C194" s="42"/>
      <c r="D194" s="42"/>
    </row>
    <row r="195" spans="1:5" ht="21" thickTop="1" thickBot="1" x14ac:dyDescent="0.45">
      <c r="A195" s="64"/>
      <c r="B195" s="21" t="s">
        <v>54</v>
      </c>
    </row>
    <row r="196" spans="1:5" ht="16.5" thickTop="1" x14ac:dyDescent="0.25">
      <c r="A196" s="64"/>
      <c r="B196" s="4" t="s">
        <v>2</v>
      </c>
    </row>
    <row r="197" spans="1:5" ht="15.75" x14ac:dyDescent="0.25">
      <c r="A197" s="64" t="s">
        <v>115</v>
      </c>
      <c r="B197" s="16" t="s">
        <v>116</v>
      </c>
      <c r="C197" s="40">
        <v>12329212.43</v>
      </c>
      <c r="D197" s="40">
        <v>14161003</v>
      </c>
      <c r="E197" s="35">
        <v>14512874</v>
      </c>
    </row>
    <row r="198" spans="1:5" ht="15.75" x14ac:dyDescent="0.25">
      <c r="A198" s="64" t="s">
        <v>117</v>
      </c>
      <c r="B198" s="16" t="s">
        <v>118</v>
      </c>
      <c r="C198" s="40">
        <v>8617202.5</v>
      </c>
      <c r="D198" s="40">
        <v>7961462</v>
      </c>
      <c r="E198" s="35">
        <v>8596130</v>
      </c>
    </row>
    <row r="199" spans="1:5" ht="15.75" x14ac:dyDescent="0.25">
      <c r="A199" s="64" t="s">
        <v>119</v>
      </c>
      <c r="B199" s="16" t="s">
        <v>120</v>
      </c>
      <c r="C199" s="40">
        <v>96609.02</v>
      </c>
      <c r="D199" s="40">
        <v>15000</v>
      </c>
      <c r="E199" s="35">
        <v>41000</v>
      </c>
    </row>
    <row r="200" spans="1:5" ht="15.75" x14ac:dyDescent="0.25">
      <c r="A200" s="67" t="s">
        <v>106</v>
      </c>
      <c r="B200" s="16" t="s">
        <v>121</v>
      </c>
      <c r="C200" s="40">
        <v>2527526.61</v>
      </c>
      <c r="D200" s="40">
        <v>2603843</v>
      </c>
      <c r="E200" s="35">
        <v>2647033</v>
      </c>
    </row>
    <row r="201" spans="1:5" ht="15.75" x14ac:dyDescent="0.25">
      <c r="A201" s="67" t="s">
        <v>372</v>
      </c>
      <c r="B201" s="7" t="s">
        <v>191</v>
      </c>
      <c r="C201" s="40">
        <v>89799.69</v>
      </c>
      <c r="D201" s="40">
        <v>122042</v>
      </c>
      <c r="E201" s="35">
        <v>113267</v>
      </c>
    </row>
    <row r="202" spans="1:5" ht="16.5" thickBot="1" x14ac:dyDescent="0.3">
      <c r="A202" s="67" t="s">
        <v>228</v>
      </c>
      <c r="B202" s="16" t="s">
        <v>109</v>
      </c>
      <c r="C202" s="40">
        <v>0</v>
      </c>
      <c r="D202" s="40">
        <v>1475128</v>
      </c>
      <c r="E202" s="35">
        <v>1613829</v>
      </c>
    </row>
    <row r="203" spans="1:5" ht="17.25" thickTop="1" thickBot="1" x14ac:dyDescent="0.3">
      <c r="A203" s="64"/>
      <c r="B203" s="17" t="s">
        <v>6</v>
      </c>
      <c r="C203" s="41">
        <f>SUM(C197:C202)</f>
        <v>23660350.25</v>
      </c>
      <c r="D203" s="41">
        <f>SUM(D197:D202)</f>
        <v>26338478</v>
      </c>
      <c r="E203" s="41">
        <v>27524133</v>
      </c>
    </row>
    <row r="204" spans="1:5" ht="16.5" thickTop="1" x14ac:dyDescent="0.25">
      <c r="A204" s="64"/>
      <c r="B204" s="15"/>
      <c r="C204" s="42"/>
      <c r="D204" s="42"/>
    </row>
    <row r="205" spans="1:5" ht="15.75" x14ac:dyDescent="0.25">
      <c r="A205" s="64"/>
      <c r="B205" s="4" t="s">
        <v>7</v>
      </c>
    </row>
    <row r="206" spans="1:5" ht="15.75" x14ac:dyDescent="0.25">
      <c r="A206" s="67" t="s">
        <v>55</v>
      </c>
      <c r="B206" s="7" t="s">
        <v>52</v>
      </c>
      <c r="C206" s="40">
        <f>SUM(C207:C210)</f>
        <v>1063212.71</v>
      </c>
      <c r="D206" s="40">
        <f>SUM(D207:D210)</f>
        <v>1256254</v>
      </c>
      <c r="E206" s="40">
        <v>1270915</v>
      </c>
    </row>
    <row r="207" spans="1:5" ht="15.75" x14ac:dyDescent="0.25">
      <c r="A207" s="67"/>
      <c r="B207" s="59" t="s">
        <v>461</v>
      </c>
      <c r="C207" s="60">
        <v>804206.11</v>
      </c>
      <c r="D207" s="60">
        <v>847232</v>
      </c>
      <c r="E207" s="60">
        <v>854500</v>
      </c>
    </row>
    <row r="208" spans="1:5" ht="15.75" x14ac:dyDescent="0.25">
      <c r="A208" s="67"/>
      <c r="B208" s="59" t="s">
        <v>464</v>
      </c>
      <c r="C208" s="60">
        <v>91071.12</v>
      </c>
      <c r="D208" s="60">
        <v>109653</v>
      </c>
      <c r="E208" s="60">
        <v>111694</v>
      </c>
    </row>
    <row r="209" spans="1:5" ht="15.75" x14ac:dyDescent="0.25">
      <c r="A209" s="67"/>
      <c r="B209" s="59" t="s">
        <v>462</v>
      </c>
      <c r="C209" s="60">
        <v>0</v>
      </c>
      <c r="D209" s="60">
        <v>0</v>
      </c>
      <c r="E209" s="60">
        <v>0</v>
      </c>
    </row>
    <row r="210" spans="1:5" ht="15.75" x14ac:dyDescent="0.25">
      <c r="A210" s="67"/>
      <c r="B210" s="59" t="s">
        <v>463</v>
      </c>
      <c r="C210" s="60">
        <f>1063212.71-C207-C208-C209</f>
        <v>167935.47999999998</v>
      </c>
      <c r="D210" s="60">
        <f>2561605-49351-1256000-D207-D208</f>
        <v>299369</v>
      </c>
      <c r="E210" s="60">
        <v>304721</v>
      </c>
    </row>
    <row r="211" spans="1:5" ht="15.75" x14ac:dyDescent="0.25">
      <c r="A211" s="67" t="s">
        <v>56</v>
      </c>
      <c r="B211" s="7" t="s">
        <v>57</v>
      </c>
      <c r="C211" s="40">
        <f t="shared" ref="C211:D211" si="0">SUM(C212:C215)</f>
        <v>2522445.2200000002</v>
      </c>
      <c r="D211" s="40">
        <f t="shared" si="0"/>
        <v>2738940</v>
      </c>
      <c r="E211" s="40">
        <v>2981895</v>
      </c>
    </row>
    <row r="212" spans="1:5" ht="15.75" x14ac:dyDescent="0.25">
      <c r="A212" s="67"/>
      <c r="B212" s="59" t="s">
        <v>461</v>
      </c>
      <c r="C212" s="60">
        <v>2168264.2599999998</v>
      </c>
      <c r="D212" s="60">
        <v>2272758</v>
      </c>
      <c r="E212" s="60">
        <v>2409636</v>
      </c>
    </row>
    <row r="213" spans="1:5" ht="15.75" x14ac:dyDescent="0.25">
      <c r="A213" s="67"/>
      <c r="B213" s="59" t="s">
        <v>464</v>
      </c>
      <c r="C213" s="60">
        <v>168947.87</v>
      </c>
      <c r="D213" s="60">
        <v>200411</v>
      </c>
      <c r="E213" s="60">
        <v>227823</v>
      </c>
    </row>
    <row r="214" spans="1:5" ht="15.75" x14ac:dyDescent="0.25">
      <c r="A214" s="67"/>
      <c r="B214" s="59" t="s">
        <v>462</v>
      </c>
      <c r="C214" s="60">
        <v>6000</v>
      </c>
      <c r="D214" s="60">
        <f>17000-3160</f>
        <v>13840</v>
      </c>
      <c r="E214" s="60">
        <v>12000</v>
      </c>
    </row>
    <row r="215" spans="1:5" ht="15.75" x14ac:dyDescent="0.25">
      <c r="A215" s="67"/>
      <c r="B215" s="59" t="s">
        <v>463</v>
      </c>
      <c r="C215" s="60">
        <f>2522445.22-SUM(C212:C214)</f>
        <v>179233.09000000032</v>
      </c>
      <c r="D215" s="60">
        <f>2738254+686-2272758-200411-13840</f>
        <v>251931</v>
      </c>
      <c r="E215" s="60">
        <v>332436</v>
      </c>
    </row>
    <row r="216" spans="1:5" ht="15.75" x14ac:dyDescent="0.25">
      <c r="A216" s="67" t="s">
        <v>58</v>
      </c>
      <c r="B216" s="7" t="s">
        <v>169</v>
      </c>
      <c r="C216" s="40">
        <f t="shared" ref="C216" si="1">SUM(C217:C220)</f>
        <v>8793901.4800000004</v>
      </c>
      <c r="D216" s="40">
        <f t="shared" ref="D216" si="2">SUM(D217:D220)</f>
        <v>9044909</v>
      </c>
      <c r="E216" s="40">
        <v>9595011</v>
      </c>
    </row>
    <row r="217" spans="1:5" ht="15.75" x14ac:dyDescent="0.25">
      <c r="A217" s="67"/>
      <c r="B217" s="59" t="s">
        <v>461</v>
      </c>
      <c r="C217" s="60">
        <v>5715490.5099999998</v>
      </c>
      <c r="D217" s="60">
        <v>5975540</v>
      </c>
      <c r="E217" s="60">
        <v>6407351</v>
      </c>
    </row>
    <row r="218" spans="1:5" ht="15.75" x14ac:dyDescent="0.25">
      <c r="A218" s="67"/>
      <c r="B218" s="59" t="s">
        <v>464</v>
      </c>
      <c r="C218" s="60">
        <v>315804.3</v>
      </c>
      <c r="D218" s="60">
        <v>375496</v>
      </c>
      <c r="E218" s="60">
        <v>389990</v>
      </c>
    </row>
    <row r="219" spans="1:5" ht="15.75" x14ac:dyDescent="0.25">
      <c r="A219" s="67"/>
      <c r="B219" s="59" t="s">
        <v>462</v>
      </c>
      <c r="C219" s="60">
        <v>0</v>
      </c>
      <c r="D219" s="60">
        <v>0</v>
      </c>
      <c r="E219" s="60">
        <v>0</v>
      </c>
    </row>
    <row r="220" spans="1:5" ht="15.75" x14ac:dyDescent="0.25">
      <c r="A220" s="67"/>
      <c r="B220" s="59" t="s">
        <v>463</v>
      </c>
      <c r="C220" s="60">
        <f>8793901.48-SUM(C217:C219)</f>
        <v>2762606.6700000009</v>
      </c>
      <c r="D220" s="60">
        <f>9021784+23125-D218-D217</f>
        <v>2693873</v>
      </c>
      <c r="E220" s="60">
        <v>2797670</v>
      </c>
    </row>
    <row r="221" spans="1:5" ht="15.75" x14ac:dyDescent="0.25">
      <c r="A221" s="67" t="s">
        <v>59</v>
      </c>
      <c r="B221" s="7" t="s">
        <v>170</v>
      </c>
      <c r="C221" s="40">
        <f t="shared" ref="C221" si="3">SUM(C222:C225)</f>
        <v>1023573.35</v>
      </c>
      <c r="D221" s="40">
        <f t="shared" ref="D221" si="4">SUM(D222:D225)</f>
        <v>1148459</v>
      </c>
      <c r="E221" s="40">
        <v>1255793</v>
      </c>
    </row>
    <row r="222" spans="1:5" ht="15.75" x14ac:dyDescent="0.25">
      <c r="A222" s="67"/>
      <c r="B222" s="59" t="s">
        <v>461</v>
      </c>
      <c r="C222" s="60">
        <v>853397.77</v>
      </c>
      <c r="D222" s="60">
        <f>934648+17710</f>
        <v>952358</v>
      </c>
      <c r="E222" s="60">
        <v>1047871</v>
      </c>
    </row>
    <row r="223" spans="1:5" ht="15.75" x14ac:dyDescent="0.25">
      <c r="A223" s="67"/>
      <c r="B223" s="59" t="s">
        <v>464</v>
      </c>
      <c r="C223" s="60">
        <v>73180.89</v>
      </c>
      <c r="D223" s="60">
        <f>83289+156</f>
        <v>83445</v>
      </c>
      <c r="E223" s="60">
        <v>91360</v>
      </c>
    </row>
    <row r="224" spans="1:5" ht="15.75" x14ac:dyDescent="0.25">
      <c r="A224" s="67"/>
      <c r="B224" s="59" t="s">
        <v>462</v>
      </c>
      <c r="C224" s="60">
        <v>0</v>
      </c>
      <c r="D224" s="60">
        <v>0</v>
      </c>
      <c r="E224" s="60">
        <v>0</v>
      </c>
    </row>
    <row r="225" spans="1:5" ht="15.75" x14ac:dyDescent="0.25">
      <c r="A225" s="67"/>
      <c r="B225" s="59" t="s">
        <v>463</v>
      </c>
      <c r="C225" s="60">
        <f>1023573.35-SUM(C222:C224)</f>
        <v>96994.689999999944</v>
      </c>
      <c r="D225" s="60">
        <f>1123287+25172-952358-83445</f>
        <v>112656</v>
      </c>
      <c r="E225" s="60">
        <v>116562</v>
      </c>
    </row>
    <row r="226" spans="1:5" ht="15.75" x14ac:dyDescent="0.25">
      <c r="A226" s="67" t="s">
        <v>61</v>
      </c>
      <c r="B226" s="7" t="s">
        <v>62</v>
      </c>
      <c r="C226" s="40">
        <f t="shared" ref="C226" si="5">SUM(C227:C230)</f>
        <v>9038258.5800000001</v>
      </c>
      <c r="D226" s="40">
        <f t="shared" ref="D226" si="6">SUM(D227:D230)</f>
        <v>10131777</v>
      </c>
      <c r="E226" s="40">
        <v>10362721</v>
      </c>
    </row>
    <row r="227" spans="1:5" ht="15.75" x14ac:dyDescent="0.25">
      <c r="A227" s="67"/>
      <c r="B227" s="59" t="s">
        <v>461</v>
      </c>
      <c r="C227" s="60">
        <v>1399124.01</v>
      </c>
      <c r="D227" s="60">
        <f>1644381-32835</f>
        <v>1611546</v>
      </c>
      <c r="E227" s="60">
        <v>1733769</v>
      </c>
    </row>
    <row r="228" spans="1:5" ht="15.75" x14ac:dyDescent="0.25">
      <c r="A228" s="67"/>
      <c r="B228" s="59" t="s">
        <v>464</v>
      </c>
      <c r="C228" s="60">
        <v>93672.08</v>
      </c>
      <c r="D228" s="60">
        <f>145235-344</f>
        <v>144891</v>
      </c>
      <c r="E228" s="60">
        <v>168185</v>
      </c>
    </row>
    <row r="229" spans="1:5" ht="15.75" x14ac:dyDescent="0.25">
      <c r="A229" s="67"/>
      <c r="B229" s="59" t="s">
        <v>462</v>
      </c>
      <c r="C229" s="60">
        <v>0</v>
      </c>
      <c r="D229" s="60">
        <v>0</v>
      </c>
      <c r="E229" s="60">
        <v>0</v>
      </c>
    </row>
    <row r="230" spans="1:5" ht="15.75" x14ac:dyDescent="0.25">
      <c r="A230" s="67"/>
      <c r="B230" s="59" t="s">
        <v>463</v>
      </c>
      <c r="C230" s="60">
        <f>9038258.58-C229-C228-C227</f>
        <v>7545462.4900000002</v>
      </c>
      <c r="D230" s="60">
        <f>10131409+368-1611546-144891</f>
        <v>8375340</v>
      </c>
      <c r="E230" s="60">
        <v>8460767</v>
      </c>
    </row>
    <row r="231" spans="1:5" ht="15.75" x14ac:dyDescent="0.25">
      <c r="A231" s="67" t="s">
        <v>69</v>
      </c>
      <c r="B231" s="7" t="s">
        <v>71</v>
      </c>
      <c r="C231" s="40">
        <f t="shared" ref="C231" si="7">SUM(C232:C235)</f>
        <v>348735.66</v>
      </c>
      <c r="D231" s="40">
        <f t="shared" ref="D231" si="8">SUM(D232:D235)</f>
        <v>396525</v>
      </c>
      <c r="E231" s="40">
        <v>401665</v>
      </c>
    </row>
    <row r="232" spans="1:5" ht="15.75" x14ac:dyDescent="0.25">
      <c r="A232" s="67"/>
      <c r="B232" s="59" t="s">
        <v>461</v>
      </c>
      <c r="C232" s="60">
        <v>145143.91</v>
      </c>
      <c r="D232" s="60">
        <v>154876</v>
      </c>
      <c r="E232" s="60">
        <v>162634</v>
      </c>
    </row>
    <row r="233" spans="1:5" ht="15.75" x14ac:dyDescent="0.25">
      <c r="A233" s="67"/>
      <c r="B233" s="59" t="s">
        <v>464</v>
      </c>
      <c r="C233" s="60">
        <v>14835.5</v>
      </c>
      <c r="D233" s="60">
        <v>17276</v>
      </c>
      <c r="E233" s="60">
        <v>17346</v>
      </c>
    </row>
    <row r="234" spans="1:5" ht="15.75" x14ac:dyDescent="0.25">
      <c r="A234" s="67"/>
      <c r="B234" s="59" t="s">
        <v>462</v>
      </c>
      <c r="C234" s="60">
        <v>0</v>
      </c>
      <c r="D234" s="60">
        <v>0</v>
      </c>
      <c r="E234" s="60">
        <v>0</v>
      </c>
    </row>
    <row r="235" spans="1:5" ht="15.75" x14ac:dyDescent="0.25">
      <c r="A235" s="67"/>
      <c r="B235" s="59" t="s">
        <v>463</v>
      </c>
      <c r="C235" s="60">
        <f>348735.66-C233-C232</f>
        <v>188756.24999999997</v>
      </c>
      <c r="D235" s="60">
        <f>396525-154876-17276</f>
        <v>224373</v>
      </c>
      <c r="E235" s="60">
        <v>221685</v>
      </c>
    </row>
    <row r="236" spans="1:5" ht="15.75" x14ac:dyDescent="0.25">
      <c r="A236" s="67" t="s">
        <v>70</v>
      </c>
      <c r="B236" s="7" t="s">
        <v>72</v>
      </c>
      <c r="C236" s="40">
        <f t="shared" ref="C236" si="9">SUM(C237:C240)</f>
        <v>317925.27</v>
      </c>
      <c r="D236" s="40">
        <f t="shared" ref="D236" si="10">SUM(D237:D240)</f>
        <v>365614</v>
      </c>
      <c r="E236" s="40">
        <v>356133</v>
      </c>
    </row>
    <row r="237" spans="1:5" ht="15.75" x14ac:dyDescent="0.25">
      <c r="A237" s="67"/>
      <c r="B237" s="59" t="s">
        <v>461</v>
      </c>
      <c r="C237" s="60">
        <v>125419.78</v>
      </c>
      <c r="D237" s="60">
        <v>133217</v>
      </c>
      <c r="E237" s="60">
        <v>139454</v>
      </c>
    </row>
    <row r="238" spans="1:5" ht="15.75" x14ac:dyDescent="0.25">
      <c r="A238" s="67"/>
      <c r="B238" s="59" t="s">
        <v>464</v>
      </c>
      <c r="C238" s="60">
        <v>9257.7199999999993</v>
      </c>
      <c r="D238" s="60">
        <v>11172</v>
      </c>
      <c r="E238" s="60">
        <v>11086</v>
      </c>
    </row>
    <row r="239" spans="1:5" ht="15.75" x14ac:dyDescent="0.25">
      <c r="A239" s="67"/>
      <c r="B239" s="59" t="s">
        <v>462</v>
      </c>
      <c r="C239" s="60">
        <v>0</v>
      </c>
      <c r="D239" s="60">
        <v>0</v>
      </c>
      <c r="E239" s="60">
        <v>0</v>
      </c>
    </row>
    <row r="240" spans="1:5" ht="15.75" x14ac:dyDescent="0.25">
      <c r="A240" s="67"/>
      <c r="B240" s="59" t="s">
        <v>463</v>
      </c>
      <c r="C240" s="60">
        <f>317925.27-C237-C238</f>
        <v>183247.77000000002</v>
      </c>
      <c r="D240" s="60">
        <f>365614-133217-11172</f>
        <v>221225</v>
      </c>
      <c r="E240" s="60">
        <v>205593</v>
      </c>
    </row>
    <row r="241" spans="1:5" ht="16.5" thickBot="1" x14ac:dyDescent="0.3">
      <c r="A241" s="64" t="s">
        <v>261</v>
      </c>
      <c r="B241" s="7" t="s">
        <v>235</v>
      </c>
      <c r="C241" s="40">
        <f>C203-23108052.27</f>
        <v>552297.98000000045</v>
      </c>
      <c r="D241" s="40">
        <v>1256000</v>
      </c>
      <c r="E241" s="40">
        <v>1300000</v>
      </c>
    </row>
    <row r="242" spans="1:5" ht="17.25" thickTop="1" thickBot="1" x14ac:dyDescent="0.3">
      <c r="A242" s="64"/>
      <c r="B242" s="17" t="s">
        <v>51</v>
      </c>
      <c r="C242" s="41">
        <f>C206+C211+C216+C221+C226+C231+C236+C241</f>
        <v>23660350.25</v>
      </c>
      <c r="D242" s="41">
        <f>D206+D211+D216+D221+D226+D231+D236+D241</f>
        <v>26338478</v>
      </c>
      <c r="E242" s="41">
        <v>27524133</v>
      </c>
    </row>
    <row r="243" spans="1:5" ht="17.25" thickTop="1" thickBot="1" x14ac:dyDescent="0.3">
      <c r="A243" s="64"/>
      <c r="B243" s="15"/>
      <c r="C243" s="42"/>
      <c r="D243" s="42"/>
    </row>
    <row r="244" spans="1:5" ht="21" thickTop="1" thickBot="1" x14ac:dyDescent="0.45">
      <c r="A244" s="64"/>
      <c r="B244" s="29" t="s">
        <v>335</v>
      </c>
      <c r="C244" s="56"/>
    </row>
    <row r="245" spans="1:5" ht="16.5" thickTop="1" x14ac:dyDescent="0.25">
      <c r="A245" s="64"/>
      <c r="B245" s="4" t="s">
        <v>2</v>
      </c>
    </row>
    <row r="246" spans="1:5" ht="15.75" x14ac:dyDescent="0.25">
      <c r="A246" s="64" t="s">
        <v>190</v>
      </c>
      <c r="B246" s="63" t="s">
        <v>492</v>
      </c>
      <c r="C246" s="40">
        <v>1455711.78</v>
      </c>
      <c r="D246" s="40">
        <v>1490000</v>
      </c>
      <c r="E246" s="35">
        <v>1600000</v>
      </c>
    </row>
    <row r="247" spans="1:5" ht="15.75" x14ac:dyDescent="0.25">
      <c r="A247" s="64" t="s">
        <v>496</v>
      </c>
      <c r="B247" s="63" t="s">
        <v>493</v>
      </c>
      <c r="C247" s="40">
        <v>15284973.84</v>
      </c>
      <c r="D247" s="40">
        <v>17000000</v>
      </c>
      <c r="E247" s="35">
        <v>17000000</v>
      </c>
    </row>
    <row r="248" spans="1:5" ht="15.75" x14ac:dyDescent="0.25">
      <c r="A248" s="67" t="s">
        <v>504</v>
      </c>
      <c r="B248" s="63" t="s">
        <v>494</v>
      </c>
      <c r="C248" s="40">
        <f>6060963+5467371.92+2743813.06</f>
        <v>14272147.98</v>
      </c>
      <c r="D248" s="40">
        <v>17895000</v>
      </c>
      <c r="E248" s="35">
        <v>18500000</v>
      </c>
    </row>
    <row r="249" spans="1:5" ht="15.75" x14ac:dyDescent="0.25">
      <c r="A249" s="67" t="s">
        <v>497</v>
      </c>
      <c r="B249" s="63" t="s">
        <v>495</v>
      </c>
      <c r="C249" s="40">
        <v>15095753.42</v>
      </c>
      <c r="D249" s="40">
        <v>17000000</v>
      </c>
      <c r="E249" s="35">
        <v>17000000</v>
      </c>
    </row>
    <row r="250" spans="1:5" ht="15.75" x14ac:dyDescent="0.25">
      <c r="A250" s="67" t="s">
        <v>334</v>
      </c>
      <c r="B250" s="16" t="s">
        <v>336</v>
      </c>
      <c r="C250" s="40">
        <v>2882607.48</v>
      </c>
      <c r="D250" s="40">
        <v>3100000</v>
      </c>
      <c r="E250" s="35">
        <v>2913834</v>
      </c>
    </row>
    <row r="251" spans="1:5" ht="15.75" x14ac:dyDescent="0.25">
      <c r="A251" s="64" t="s">
        <v>115</v>
      </c>
      <c r="B251" s="16" t="s">
        <v>123</v>
      </c>
      <c r="C251" s="40">
        <v>0</v>
      </c>
      <c r="D251" s="40">
        <v>0</v>
      </c>
      <c r="E251" s="35">
        <v>3300000</v>
      </c>
    </row>
    <row r="252" spans="1:5" ht="15.75" x14ac:dyDescent="0.25">
      <c r="A252" s="67" t="s">
        <v>505</v>
      </c>
      <c r="B252" s="16" t="s">
        <v>293</v>
      </c>
      <c r="C252" s="40">
        <v>3598466.56</v>
      </c>
      <c r="D252" s="40">
        <v>3450000</v>
      </c>
      <c r="E252" s="35">
        <v>3700000</v>
      </c>
    </row>
    <row r="253" spans="1:5" ht="15.75" x14ac:dyDescent="0.25">
      <c r="A253" s="64" t="s">
        <v>117</v>
      </c>
      <c r="B253" s="16" t="s">
        <v>118</v>
      </c>
      <c r="C253" s="40">
        <v>0</v>
      </c>
      <c r="D253" s="40">
        <v>0</v>
      </c>
      <c r="E253" s="35">
        <v>0</v>
      </c>
    </row>
    <row r="254" spans="1:5" ht="15.75" x14ac:dyDescent="0.25">
      <c r="A254" s="64" t="s">
        <v>119</v>
      </c>
      <c r="B254" s="16" t="s">
        <v>120</v>
      </c>
      <c r="C254" s="40">
        <v>892849.04</v>
      </c>
      <c r="D254" s="40">
        <v>100000</v>
      </c>
      <c r="E254" s="35">
        <v>65150000</v>
      </c>
    </row>
    <row r="255" spans="1:5" ht="15.75" x14ac:dyDescent="0.25">
      <c r="A255" s="67" t="s">
        <v>106</v>
      </c>
      <c r="B255" s="16" t="s">
        <v>121</v>
      </c>
      <c r="C255" s="55">
        <v>0</v>
      </c>
      <c r="D255" s="55">
        <v>0</v>
      </c>
      <c r="E255" s="35">
        <v>1000000</v>
      </c>
    </row>
    <row r="256" spans="1:5" ht="16.5" thickBot="1" x14ac:dyDescent="0.3">
      <c r="A256" s="67" t="s">
        <v>228</v>
      </c>
      <c r="B256" s="12" t="s">
        <v>109</v>
      </c>
      <c r="C256" s="43">
        <v>0</v>
      </c>
      <c r="D256" s="43">
        <v>49624933</v>
      </c>
      <c r="E256" s="35">
        <v>54349104</v>
      </c>
    </row>
    <row r="257" spans="1:5" ht="17.25" thickTop="1" thickBot="1" x14ac:dyDescent="0.3">
      <c r="A257" s="64"/>
      <c r="B257" s="17" t="s">
        <v>6</v>
      </c>
      <c r="C257" s="44">
        <f>SUM(C246:C256)</f>
        <v>53482510.100000001</v>
      </c>
      <c r="D257" s="44">
        <f>SUM(D246:D256)</f>
        <v>109659933</v>
      </c>
      <c r="E257" s="44">
        <v>184512938</v>
      </c>
    </row>
    <row r="258" spans="1:5" ht="16.5" thickTop="1" x14ac:dyDescent="0.25">
      <c r="A258" s="64"/>
      <c r="B258" s="15"/>
      <c r="C258" s="45"/>
      <c r="D258" s="45"/>
    </row>
    <row r="259" spans="1:5" ht="15.75" x14ac:dyDescent="0.25">
      <c r="A259" s="67" t="s">
        <v>242</v>
      </c>
      <c r="B259" s="7" t="s">
        <v>345</v>
      </c>
      <c r="C259" s="40">
        <f>SUM(C260:C263)</f>
        <v>2977756.9799999995</v>
      </c>
      <c r="D259" s="40">
        <f>SUM(D260:D263)</f>
        <v>3100000</v>
      </c>
      <c r="E259" s="40">
        <v>7213834</v>
      </c>
    </row>
    <row r="260" spans="1:5" ht="15.75" x14ac:dyDescent="0.25">
      <c r="A260" s="67"/>
      <c r="B260" s="59" t="s">
        <v>461</v>
      </c>
      <c r="C260" s="60">
        <v>1156199.6200000001</v>
      </c>
      <c r="D260" s="60">
        <v>1054473</v>
      </c>
      <c r="E260" s="60">
        <v>1082599</v>
      </c>
    </row>
    <row r="261" spans="1:5" ht="15.75" x14ac:dyDescent="0.25">
      <c r="A261" s="67"/>
      <c r="B261" s="59" t="s">
        <v>464</v>
      </c>
      <c r="C261" s="60">
        <v>1061751.3</v>
      </c>
      <c r="D261" s="60">
        <v>1408836</v>
      </c>
      <c r="E261" s="60">
        <v>1569261</v>
      </c>
    </row>
    <row r="262" spans="1:5" ht="15.75" x14ac:dyDescent="0.25">
      <c r="A262" s="67"/>
      <c r="B262" s="59" t="s">
        <v>462</v>
      </c>
      <c r="C262" s="60">
        <v>0</v>
      </c>
      <c r="D262" s="60">
        <v>0</v>
      </c>
      <c r="E262" s="60">
        <v>0</v>
      </c>
    </row>
    <row r="263" spans="1:5" ht="15.75" x14ac:dyDescent="0.25">
      <c r="A263" s="67"/>
      <c r="B263" s="59" t="s">
        <v>463</v>
      </c>
      <c r="C263" s="60">
        <f>2977756.98-C260-C261</f>
        <v>759806.05999999982</v>
      </c>
      <c r="D263" s="60">
        <f>3100000-1054473-1408836</f>
        <v>636691</v>
      </c>
      <c r="E263" s="60">
        <v>4561974</v>
      </c>
    </row>
    <row r="264" spans="1:5" ht="15.75" x14ac:dyDescent="0.25">
      <c r="A264" s="67" t="s">
        <v>294</v>
      </c>
      <c r="B264" s="62" t="s">
        <v>498</v>
      </c>
      <c r="C264" s="40">
        <f>18375650.18-2834252.62-15284973.84</f>
        <v>256423.71999999881</v>
      </c>
      <c r="D264" s="40">
        <v>11049078</v>
      </c>
      <c r="E264" s="35">
        <v>6768967</v>
      </c>
    </row>
    <row r="265" spans="1:5" ht="15.75" x14ac:dyDescent="0.25">
      <c r="A265" s="67" t="s">
        <v>503</v>
      </c>
      <c r="B265" s="63" t="s">
        <v>502</v>
      </c>
      <c r="C265" s="40">
        <v>15284973.84</v>
      </c>
      <c r="D265" s="40">
        <v>17000000</v>
      </c>
      <c r="E265" s="35">
        <v>17000000</v>
      </c>
    </row>
    <row r="266" spans="1:5" ht="15.75" x14ac:dyDescent="0.25">
      <c r="A266" s="67" t="s">
        <v>295</v>
      </c>
      <c r="B266" s="63" t="s">
        <v>499</v>
      </c>
      <c r="C266" s="40">
        <f>9801137.28-6339738.06</f>
        <v>3461399.2199999997</v>
      </c>
      <c r="D266" s="40">
        <v>35671975</v>
      </c>
      <c r="E266" s="35">
        <v>39732305</v>
      </c>
    </row>
    <row r="267" spans="1:5" ht="15.75" x14ac:dyDescent="0.25">
      <c r="A267" s="67" t="s">
        <v>296</v>
      </c>
      <c r="B267" s="16" t="s">
        <v>297</v>
      </c>
      <c r="C267" s="40">
        <v>0</v>
      </c>
      <c r="D267" s="40">
        <v>5076678</v>
      </c>
      <c r="E267" s="35">
        <v>7259935</v>
      </c>
    </row>
    <row r="268" spans="1:5" ht="15.75" x14ac:dyDescent="0.25">
      <c r="A268" s="67" t="s">
        <v>298</v>
      </c>
      <c r="B268" s="63" t="s">
        <v>500</v>
      </c>
      <c r="C268" s="40">
        <v>807682.23</v>
      </c>
      <c r="D268" s="40">
        <v>10042982</v>
      </c>
      <c r="E268" s="35">
        <v>74828565</v>
      </c>
    </row>
    <row r="269" spans="1:5" ht="15.75" x14ac:dyDescent="0.25">
      <c r="A269" s="67" t="s">
        <v>501</v>
      </c>
      <c r="B269" s="63" t="s">
        <v>502</v>
      </c>
      <c r="C269" s="40">
        <v>15095753.42</v>
      </c>
      <c r="D269" s="40">
        <v>17000000</v>
      </c>
      <c r="E269" s="35">
        <v>17000000</v>
      </c>
    </row>
    <row r="270" spans="1:5" ht="15.75" x14ac:dyDescent="0.25">
      <c r="A270" s="64" t="s">
        <v>299</v>
      </c>
      <c r="B270" s="16" t="s">
        <v>168</v>
      </c>
      <c r="C270" s="40">
        <v>10874349.93</v>
      </c>
      <c r="D270" s="40">
        <v>10719220</v>
      </c>
      <c r="E270" s="35">
        <v>14709332</v>
      </c>
    </row>
    <row r="271" spans="1:5" ht="16.5" thickBot="1" x14ac:dyDescent="0.3">
      <c r="A271" s="64" t="s">
        <v>300</v>
      </c>
      <c r="B271" s="12" t="s">
        <v>235</v>
      </c>
      <c r="C271" s="40">
        <f>C257-48758339.34</f>
        <v>4724170.7599999979</v>
      </c>
      <c r="D271" s="40">
        <v>0</v>
      </c>
      <c r="E271" s="35">
        <v>0</v>
      </c>
    </row>
    <row r="272" spans="1:5" ht="17.25" thickTop="1" thickBot="1" x14ac:dyDescent="0.3">
      <c r="A272" s="64"/>
      <c r="B272" s="17" t="s">
        <v>51</v>
      </c>
      <c r="C272" s="50">
        <f>C259+SUM(C264:C271)</f>
        <v>53482510.099999994</v>
      </c>
      <c r="D272" s="50">
        <f>D259+SUM(D264:D271)</f>
        <v>109659933</v>
      </c>
      <c r="E272" s="50">
        <v>184512938</v>
      </c>
    </row>
    <row r="273" spans="1:5" ht="17.25" thickTop="1" thickBot="1" x14ac:dyDescent="0.3">
      <c r="A273" s="64"/>
      <c r="B273" s="15"/>
      <c r="C273" s="56"/>
    </row>
    <row r="274" spans="1:5" ht="21" thickTop="1" thickBot="1" x14ac:dyDescent="0.45">
      <c r="A274" s="64"/>
      <c r="B274" s="29" t="s">
        <v>337</v>
      </c>
    </row>
    <row r="275" spans="1:5" ht="16.5" thickTop="1" x14ac:dyDescent="0.25">
      <c r="A275" s="64"/>
      <c r="B275" s="4" t="s">
        <v>2</v>
      </c>
    </row>
    <row r="276" spans="1:5" ht="15.75" x14ac:dyDescent="0.25">
      <c r="A276" s="67" t="s">
        <v>478</v>
      </c>
      <c r="B276" s="63" t="s">
        <v>479</v>
      </c>
      <c r="C276" s="35">
        <v>2125991.0499999998</v>
      </c>
      <c r="D276" s="35">
        <v>4000000</v>
      </c>
      <c r="E276" s="35">
        <v>4000000</v>
      </c>
    </row>
    <row r="277" spans="1:5" ht="15.75" x14ac:dyDescent="0.25">
      <c r="A277" s="64" t="s">
        <v>115</v>
      </c>
      <c r="B277" s="63" t="s">
        <v>486</v>
      </c>
      <c r="C277" s="35">
        <v>0</v>
      </c>
      <c r="D277" s="35">
        <v>3017122</v>
      </c>
      <c r="E277" s="35">
        <v>5000000</v>
      </c>
    </row>
    <row r="278" spans="1:5" ht="15.75" x14ac:dyDescent="0.25">
      <c r="A278" s="64" t="s">
        <v>115</v>
      </c>
      <c r="B278" s="16" t="s">
        <v>374</v>
      </c>
      <c r="C278" s="35">
        <v>1083424.02</v>
      </c>
      <c r="D278" s="35">
        <v>2506600</v>
      </c>
      <c r="E278" s="35">
        <v>2918058</v>
      </c>
    </row>
    <row r="279" spans="1:5" ht="15.75" x14ac:dyDescent="0.25">
      <c r="A279" s="64" t="s">
        <v>115</v>
      </c>
      <c r="B279" s="16" t="s">
        <v>376</v>
      </c>
      <c r="C279" s="35">
        <v>11000</v>
      </c>
      <c r="D279" s="35">
        <v>11000</v>
      </c>
      <c r="E279" s="35">
        <v>11000</v>
      </c>
    </row>
    <row r="280" spans="1:5" ht="15.75" x14ac:dyDescent="0.25">
      <c r="A280" s="64" t="s">
        <v>115</v>
      </c>
      <c r="B280" s="16" t="s">
        <v>343</v>
      </c>
      <c r="C280" s="35">
        <v>1540</v>
      </c>
      <c r="D280" s="35">
        <v>18698</v>
      </c>
      <c r="E280" s="35">
        <v>25000</v>
      </c>
    </row>
    <row r="281" spans="1:5" ht="15.75" x14ac:dyDescent="0.25">
      <c r="A281" s="64" t="s">
        <v>115</v>
      </c>
      <c r="B281" s="16" t="s">
        <v>342</v>
      </c>
      <c r="C281" s="66">
        <v>138757.23000000001</v>
      </c>
      <c r="D281" s="35">
        <f>388525+6119</f>
        <v>394644</v>
      </c>
      <c r="E281" s="35">
        <v>241991</v>
      </c>
    </row>
    <row r="282" spans="1:5" ht="15.75" x14ac:dyDescent="0.25">
      <c r="A282" s="64" t="s">
        <v>115</v>
      </c>
      <c r="B282" s="16" t="s">
        <v>377</v>
      </c>
      <c r="C282" s="35">
        <v>380359.17</v>
      </c>
      <c r="D282" s="35">
        <f>1604435+30947</f>
        <v>1635382</v>
      </c>
      <c r="E282" s="35">
        <v>1340934</v>
      </c>
    </row>
    <row r="283" spans="1:5" ht="15.75" x14ac:dyDescent="0.25">
      <c r="A283" s="64" t="s">
        <v>115</v>
      </c>
      <c r="B283" s="16" t="s">
        <v>375</v>
      </c>
      <c r="C283" s="35">
        <v>11478.09</v>
      </c>
      <c r="D283" s="35">
        <v>14995</v>
      </c>
      <c r="E283" s="35">
        <v>1020000</v>
      </c>
    </row>
    <row r="284" spans="1:5" ht="15.75" x14ac:dyDescent="0.25">
      <c r="A284" s="64" t="s">
        <v>115</v>
      </c>
      <c r="B284" s="16" t="s">
        <v>344</v>
      </c>
      <c r="C284" s="35">
        <v>541440.93999999994</v>
      </c>
      <c r="D284" s="35">
        <f>1654950+296939</f>
        <v>1951889</v>
      </c>
      <c r="E284" s="35">
        <v>1905000</v>
      </c>
    </row>
    <row r="285" spans="1:5" ht="15.75" x14ac:dyDescent="0.25">
      <c r="A285" s="64" t="s">
        <v>115</v>
      </c>
      <c r="B285" s="63" t="s">
        <v>480</v>
      </c>
      <c r="C285" s="35">
        <v>2000</v>
      </c>
      <c r="D285" s="35">
        <v>2500</v>
      </c>
      <c r="E285" s="35">
        <v>0</v>
      </c>
    </row>
    <row r="286" spans="1:5" ht="15.75" x14ac:dyDescent="0.25">
      <c r="A286" s="64" t="s">
        <v>117</v>
      </c>
      <c r="B286" s="16" t="s">
        <v>378</v>
      </c>
      <c r="C286" s="35">
        <v>22156.52</v>
      </c>
      <c r="D286" s="40">
        <v>94042</v>
      </c>
      <c r="E286" s="35">
        <v>51000</v>
      </c>
    </row>
    <row r="287" spans="1:5" ht="15.75" x14ac:dyDescent="0.25">
      <c r="A287" s="64" t="s">
        <v>117</v>
      </c>
      <c r="B287" s="16" t="s">
        <v>379</v>
      </c>
      <c r="C287" s="35">
        <v>88089.97</v>
      </c>
      <c r="D287" s="40">
        <f>310000-149550</f>
        <v>160450</v>
      </c>
      <c r="E287" s="35">
        <v>137500</v>
      </c>
    </row>
    <row r="288" spans="1:5" ht="15.75" x14ac:dyDescent="0.25">
      <c r="A288" s="64" t="s">
        <v>117</v>
      </c>
      <c r="B288" s="63" t="s">
        <v>487</v>
      </c>
      <c r="C288" s="35">
        <v>0</v>
      </c>
      <c r="D288" s="40">
        <v>728400</v>
      </c>
      <c r="E288" s="35">
        <v>582900</v>
      </c>
    </row>
    <row r="289" spans="1:5" ht="15.75" x14ac:dyDescent="0.25">
      <c r="A289" s="64" t="s">
        <v>482</v>
      </c>
      <c r="B289" s="63" t="s">
        <v>460</v>
      </c>
      <c r="C289" s="35">
        <v>0</v>
      </c>
      <c r="D289" s="40">
        <v>2500000</v>
      </c>
      <c r="E289" s="35">
        <v>2500000</v>
      </c>
    </row>
    <row r="290" spans="1:5" ht="15.75" x14ac:dyDescent="0.25">
      <c r="A290" s="67" t="s">
        <v>276</v>
      </c>
      <c r="B290" s="16" t="s">
        <v>380</v>
      </c>
      <c r="C290" s="35">
        <v>242.79</v>
      </c>
      <c r="D290" s="40">
        <v>40000</v>
      </c>
      <c r="E290" s="35">
        <v>10000</v>
      </c>
    </row>
    <row r="291" spans="1:5" ht="15.75" x14ac:dyDescent="0.25">
      <c r="A291" s="67" t="s">
        <v>512</v>
      </c>
      <c r="B291" s="63" t="s">
        <v>513</v>
      </c>
      <c r="C291" s="35">
        <v>0</v>
      </c>
      <c r="D291" s="40">
        <v>0</v>
      </c>
      <c r="E291" s="35">
        <v>59000</v>
      </c>
    </row>
    <row r="292" spans="1:5" ht="15.75" x14ac:dyDescent="0.25">
      <c r="A292" s="64" t="s">
        <v>119</v>
      </c>
      <c r="B292" s="16" t="s">
        <v>120</v>
      </c>
      <c r="C292" s="35">
        <v>0</v>
      </c>
      <c r="D292" s="40">
        <v>0</v>
      </c>
      <c r="E292" s="35">
        <v>0</v>
      </c>
    </row>
    <row r="293" spans="1:5" ht="15.75" x14ac:dyDescent="0.25">
      <c r="A293" s="67" t="s">
        <v>181</v>
      </c>
      <c r="B293" s="12" t="s">
        <v>404</v>
      </c>
      <c r="C293" s="35">
        <v>15</v>
      </c>
      <c r="D293" s="55">
        <v>1161</v>
      </c>
      <c r="E293" s="35">
        <v>1161</v>
      </c>
    </row>
    <row r="294" spans="1:5" ht="15.75" x14ac:dyDescent="0.25">
      <c r="A294" s="67" t="s">
        <v>427</v>
      </c>
      <c r="B294" s="12" t="s">
        <v>402</v>
      </c>
      <c r="C294" s="35">
        <v>453.05</v>
      </c>
      <c r="D294" s="55">
        <v>14630</v>
      </c>
      <c r="E294" s="35">
        <v>35800</v>
      </c>
    </row>
    <row r="295" spans="1:5" ht="15.75" x14ac:dyDescent="0.25">
      <c r="A295" s="67" t="s">
        <v>488</v>
      </c>
      <c r="B295" s="65" t="s">
        <v>489</v>
      </c>
      <c r="C295" s="35">
        <v>0</v>
      </c>
      <c r="D295" s="55">
        <v>3000</v>
      </c>
      <c r="E295" s="35">
        <v>0</v>
      </c>
    </row>
    <row r="296" spans="1:5" ht="16.5" thickBot="1" x14ac:dyDescent="0.3">
      <c r="A296" s="67" t="s">
        <v>228</v>
      </c>
      <c r="B296" s="12" t="s">
        <v>109</v>
      </c>
      <c r="C296" s="35">
        <v>0</v>
      </c>
      <c r="D296" s="43">
        <v>0</v>
      </c>
      <c r="E296" s="35">
        <v>0</v>
      </c>
    </row>
    <row r="297" spans="1:5" ht="17.25" thickTop="1" thickBot="1" x14ac:dyDescent="0.3">
      <c r="A297" s="64"/>
      <c r="B297" s="17" t="s">
        <v>6</v>
      </c>
      <c r="C297" s="44">
        <f>SUM(C276:C296)</f>
        <v>4406947.8299999991</v>
      </c>
      <c r="D297" s="44">
        <f>SUM(D276:D296)</f>
        <v>17094513</v>
      </c>
      <c r="E297" s="44">
        <v>19839344</v>
      </c>
    </row>
    <row r="298" spans="1:5" ht="16.5" thickTop="1" x14ac:dyDescent="0.25">
      <c r="A298" s="64"/>
      <c r="B298" s="15"/>
      <c r="C298" s="45"/>
      <c r="D298" s="45"/>
    </row>
    <row r="299" spans="1:5" ht="15.75" x14ac:dyDescent="0.25">
      <c r="A299" s="67" t="s">
        <v>332</v>
      </c>
      <c r="B299" s="7" t="s">
        <v>333</v>
      </c>
      <c r="C299" s="40">
        <v>1083424.02</v>
      </c>
      <c r="D299" s="40">
        <v>2506600</v>
      </c>
      <c r="E299" s="35">
        <v>2918058</v>
      </c>
    </row>
    <row r="300" spans="1:5" ht="15.75" x14ac:dyDescent="0.25">
      <c r="A300" s="67" t="s">
        <v>332</v>
      </c>
      <c r="B300" s="63" t="s">
        <v>490</v>
      </c>
      <c r="C300" s="40">
        <v>0</v>
      </c>
      <c r="D300" s="40">
        <v>3017122</v>
      </c>
      <c r="E300" s="35">
        <v>5000000</v>
      </c>
    </row>
    <row r="301" spans="1:5" ht="15.75" x14ac:dyDescent="0.25">
      <c r="A301" s="67" t="s">
        <v>481</v>
      </c>
      <c r="B301" s="63" t="s">
        <v>483</v>
      </c>
      <c r="C301" s="40">
        <v>0</v>
      </c>
      <c r="D301" s="40">
        <v>2500000</v>
      </c>
      <c r="E301" s="35">
        <v>2500000</v>
      </c>
    </row>
    <row r="302" spans="1:5" ht="15.75" x14ac:dyDescent="0.25">
      <c r="A302" s="67" t="s">
        <v>481</v>
      </c>
      <c r="B302" s="63" t="s">
        <v>484</v>
      </c>
      <c r="C302" s="40">
        <v>2125991.0499999998</v>
      </c>
      <c r="D302" s="40">
        <v>4000000</v>
      </c>
      <c r="E302" s="35">
        <v>4000000</v>
      </c>
    </row>
    <row r="303" spans="1:5" ht="15.75" x14ac:dyDescent="0.25">
      <c r="A303" s="67" t="s">
        <v>24</v>
      </c>
      <c r="B303" s="16" t="s">
        <v>395</v>
      </c>
      <c r="C303" s="40">
        <v>1540</v>
      </c>
      <c r="D303" s="40">
        <v>18698</v>
      </c>
      <c r="E303" s="35">
        <v>25000</v>
      </c>
    </row>
    <row r="304" spans="1:5" ht="15.75" x14ac:dyDescent="0.25">
      <c r="A304" s="64" t="s">
        <v>251</v>
      </c>
      <c r="B304" s="16" t="s">
        <v>330</v>
      </c>
      <c r="C304" s="40">
        <v>139015.01999999999</v>
      </c>
      <c r="D304" s="40">
        <f>399686+36119</f>
        <v>435805</v>
      </c>
      <c r="E304" s="35">
        <v>253152</v>
      </c>
    </row>
    <row r="305" spans="1:5" ht="15.75" x14ac:dyDescent="0.25">
      <c r="A305" s="67" t="s">
        <v>37</v>
      </c>
      <c r="B305" s="16" t="s">
        <v>403</v>
      </c>
      <c r="C305" s="40">
        <v>11000</v>
      </c>
      <c r="D305" s="40">
        <v>11000</v>
      </c>
      <c r="E305" s="35">
        <v>11000</v>
      </c>
    </row>
    <row r="306" spans="1:5" ht="15.75" x14ac:dyDescent="0.25">
      <c r="A306" s="67" t="s">
        <v>157</v>
      </c>
      <c r="B306" s="63" t="s">
        <v>491</v>
      </c>
      <c r="C306" s="40">
        <v>0</v>
      </c>
      <c r="D306" s="40">
        <v>728400</v>
      </c>
      <c r="E306" s="35">
        <v>582900</v>
      </c>
    </row>
    <row r="307" spans="1:5" ht="15.75" x14ac:dyDescent="0.25">
      <c r="A307" s="64" t="s">
        <v>329</v>
      </c>
      <c r="B307" s="16" t="s">
        <v>331</v>
      </c>
      <c r="C307" s="40">
        <v>402968.74</v>
      </c>
      <c r="D307" s="40">
        <f>1708877+35177</f>
        <v>1744054</v>
      </c>
      <c r="E307" s="35">
        <v>1486734</v>
      </c>
    </row>
    <row r="308" spans="1:5" ht="15.75" x14ac:dyDescent="0.25">
      <c r="A308" s="64" t="s">
        <v>381</v>
      </c>
      <c r="B308" s="16" t="s">
        <v>426</v>
      </c>
      <c r="C308" s="40">
        <v>11478.09</v>
      </c>
      <c r="D308" s="40">
        <v>14995</v>
      </c>
      <c r="E308" s="35">
        <v>1020000</v>
      </c>
    </row>
    <row r="309" spans="1:5" ht="15.75" x14ac:dyDescent="0.25">
      <c r="A309" s="67" t="s">
        <v>60</v>
      </c>
      <c r="B309" s="63" t="s">
        <v>485</v>
      </c>
      <c r="C309" s="40">
        <v>2000</v>
      </c>
      <c r="D309" s="40">
        <v>2500</v>
      </c>
      <c r="E309" s="35">
        <v>0</v>
      </c>
    </row>
    <row r="310" spans="1:5" ht="16.5" thickBot="1" x14ac:dyDescent="0.3">
      <c r="A310" s="67" t="s">
        <v>247</v>
      </c>
      <c r="B310" s="16" t="s">
        <v>338</v>
      </c>
      <c r="C310" s="40">
        <v>629530.91</v>
      </c>
      <c r="D310" s="40">
        <f>1964950+150389</f>
        <v>2115339</v>
      </c>
      <c r="E310" s="35">
        <v>2042500</v>
      </c>
    </row>
    <row r="311" spans="1:5" ht="17.25" thickTop="1" thickBot="1" x14ac:dyDescent="0.3">
      <c r="A311" s="64"/>
      <c r="B311" s="17" t="s">
        <v>51</v>
      </c>
      <c r="C311" s="50">
        <f>SUM(C299:C310)</f>
        <v>4406947.83</v>
      </c>
      <c r="D311" s="50">
        <f>SUM(D299:D310)</f>
        <v>17094513</v>
      </c>
      <c r="E311" s="50">
        <v>19839344</v>
      </c>
    </row>
    <row r="312" spans="1:5" ht="17.25" thickTop="1" thickBot="1" x14ac:dyDescent="0.3">
      <c r="A312" s="64"/>
      <c r="B312" s="15"/>
    </row>
    <row r="313" spans="1:5" ht="21" thickTop="1" thickBot="1" x14ac:dyDescent="0.45">
      <c r="A313" s="64"/>
      <c r="B313" s="29" t="s">
        <v>68</v>
      </c>
    </row>
    <row r="314" spans="1:5" ht="16.5" thickTop="1" x14ac:dyDescent="0.25">
      <c r="A314" s="64"/>
      <c r="B314" s="4" t="s">
        <v>2</v>
      </c>
    </row>
    <row r="315" spans="1:5" ht="15.75" x14ac:dyDescent="0.25">
      <c r="A315" s="64" t="s">
        <v>115</v>
      </c>
      <c r="B315" s="16" t="s">
        <v>116</v>
      </c>
      <c r="C315" s="43">
        <v>686623.56</v>
      </c>
      <c r="D315" s="43">
        <f>890204-5421</f>
        <v>884783</v>
      </c>
      <c r="E315" s="35">
        <v>919862</v>
      </c>
    </row>
    <row r="316" spans="1:5" ht="15.75" x14ac:dyDescent="0.25">
      <c r="A316" s="64" t="s">
        <v>117</v>
      </c>
      <c r="B316" s="16" t="s">
        <v>118</v>
      </c>
      <c r="C316" s="43">
        <v>79189.509999999995</v>
      </c>
      <c r="D316" s="43">
        <v>93427</v>
      </c>
      <c r="E316" s="35">
        <v>99965</v>
      </c>
    </row>
    <row r="317" spans="1:5" ht="15.75" x14ac:dyDescent="0.25">
      <c r="A317" s="64" t="s">
        <v>119</v>
      </c>
      <c r="B317" s="16" t="s">
        <v>120</v>
      </c>
      <c r="C317" s="43">
        <v>3373.5</v>
      </c>
      <c r="D317" s="43">
        <v>0</v>
      </c>
      <c r="E317" s="35">
        <v>0</v>
      </c>
    </row>
    <row r="318" spans="1:5" ht="15.75" x14ac:dyDescent="0.25">
      <c r="A318" s="67" t="s">
        <v>106</v>
      </c>
      <c r="B318" s="12" t="s">
        <v>121</v>
      </c>
      <c r="C318" s="43">
        <v>110534.62</v>
      </c>
      <c r="D318" s="43">
        <f>108712+1642</f>
        <v>110354</v>
      </c>
      <c r="E318" s="35">
        <v>117658</v>
      </c>
    </row>
    <row r="319" spans="1:5" ht="15.75" x14ac:dyDescent="0.25">
      <c r="A319" s="67" t="s">
        <v>181</v>
      </c>
      <c r="B319" s="7" t="s">
        <v>191</v>
      </c>
      <c r="C319" s="43">
        <v>97393.89</v>
      </c>
      <c r="D319" s="43">
        <f>99820+3779</f>
        <v>103599</v>
      </c>
      <c r="E319" s="35">
        <v>121226</v>
      </c>
    </row>
    <row r="320" spans="1:5" ht="16.5" thickBot="1" x14ac:dyDescent="0.3">
      <c r="A320" s="67" t="s">
        <v>228</v>
      </c>
      <c r="B320" s="12" t="s">
        <v>109</v>
      </c>
      <c r="C320" s="43">
        <v>0</v>
      </c>
      <c r="D320" s="43">
        <v>18805</v>
      </c>
      <c r="E320" s="35">
        <v>27384</v>
      </c>
    </row>
    <row r="321" spans="1:5" ht="17.25" thickTop="1" thickBot="1" x14ac:dyDescent="0.3">
      <c r="A321" s="64"/>
      <c r="B321" s="17" t="s">
        <v>6</v>
      </c>
      <c r="C321" s="44">
        <f>SUM(C315:C320)</f>
        <v>977115.08000000007</v>
      </c>
      <c r="D321" s="44">
        <f>SUM(D315:D320)</f>
        <v>1210968</v>
      </c>
      <c r="E321" s="44">
        <v>1286095</v>
      </c>
    </row>
    <row r="322" spans="1:5" ht="16.5" thickTop="1" x14ac:dyDescent="0.25">
      <c r="A322" s="64"/>
      <c r="B322" s="15"/>
      <c r="C322" s="45"/>
      <c r="D322" s="45"/>
    </row>
    <row r="323" spans="1:5" ht="15.75" x14ac:dyDescent="0.25">
      <c r="A323" s="67" t="s">
        <v>428</v>
      </c>
      <c r="B323" s="7" t="s">
        <v>25</v>
      </c>
      <c r="C323" s="40">
        <v>870888.41</v>
      </c>
      <c r="D323" s="40">
        <f>907351+45649</f>
        <v>953000</v>
      </c>
      <c r="E323" s="35">
        <v>984877</v>
      </c>
    </row>
    <row r="324" spans="1:5" ht="15.75" x14ac:dyDescent="0.25">
      <c r="A324" s="67" t="s">
        <v>67</v>
      </c>
      <c r="B324" s="16" t="s">
        <v>304</v>
      </c>
      <c r="C324" s="40">
        <f>974914.77-C323</f>
        <v>104026.35999999999</v>
      </c>
      <c r="D324" s="40">
        <f>1210968-953000-96292</f>
        <v>161676</v>
      </c>
      <c r="E324" s="35">
        <v>151218</v>
      </c>
    </row>
    <row r="325" spans="1:5" ht="15.75" x14ac:dyDescent="0.25">
      <c r="A325" s="67" t="s">
        <v>429</v>
      </c>
      <c r="B325" s="7" t="s">
        <v>234</v>
      </c>
      <c r="C325" s="40">
        <v>0</v>
      </c>
      <c r="D325" s="40">
        <v>0</v>
      </c>
      <c r="E325" s="35">
        <v>0</v>
      </c>
    </row>
    <row r="326" spans="1:5" ht="16.5" thickBot="1" x14ac:dyDescent="0.3">
      <c r="A326" s="64" t="s">
        <v>301</v>
      </c>
      <c r="B326" s="7" t="s">
        <v>235</v>
      </c>
      <c r="C326" s="40">
        <f>C321-974914.77</f>
        <v>2200.3100000000559</v>
      </c>
      <c r="D326" s="40">
        <v>96292</v>
      </c>
      <c r="E326" s="35">
        <v>150000</v>
      </c>
    </row>
    <row r="327" spans="1:5" ht="17.25" thickTop="1" thickBot="1" x14ac:dyDescent="0.3">
      <c r="A327" s="67" t="s">
        <v>67</v>
      </c>
      <c r="B327" s="17" t="s">
        <v>51</v>
      </c>
      <c r="C327" s="50">
        <f>SUM(C323:C326)</f>
        <v>977115.08000000007</v>
      </c>
      <c r="D327" s="50">
        <f>SUM(D323:D326)</f>
        <v>1210968</v>
      </c>
      <c r="E327" s="50">
        <v>1286095</v>
      </c>
    </row>
    <row r="328" spans="1:5" ht="17.25" thickTop="1" thickBot="1" x14ac:dyDescent="0.3">
      <c r="A328" s="64"/>
      <c r="B328" s="15"/>
      <c r="C328" s="45"/>
      <c r="D328" s="45"/>
    </row>
    <row r="329" spans="1:5" ht="21" thickTop="1" thickBot="1" x14ac:dyDescent="0.45">
      <c r="A329" s="64"/>
      <c r="B329" s="29" t="s">
        <v>430</v>
      </c>
      <c r="C329" s="45"/>
      <c r="D329" s="45"/>
    </row>
    <row r="330" spans="1:5" ht="16.5" thickTop="1" x14ac:dyDescent="0.25">
      <c r="A330" s="64"/>
      <c r="B330" s="4" t="s">
        <v>2</v>
      </c>
      <c r="C330" s="45"/>
      <c r="D330" s="45"/>
    </row>
    <row r="331" spans="1:5" ht="15.75" x14ac:dyDescent="0.25">
      <c r="A331" s="64" t="s">
        <v>117</v>
      </c>
      <c r="B331" s="7" t="s">
        <v>118</v>
      </c>
      <c r="C331" s="43">
        <f>368391.93+133000</f>
        <v>501391.93</v>
      </c>
      <c r="D331" s="43">
        <v>510000</v>
      </c>
      <c r="E331" s="35">
        <v>308700</v>
      </c>
    </row>
    <row r="332" spans="1:5" ht="15.75" x14ac:dyDescent="0.25">
      <c r="A332" s="64" t="s">
        <v>119</v>
      </c>
      <c r="B332" s="16" t="s">
        <v>120</v>
      </c>
      <c r="C332" s="43">
        <v>4357.88</v>
      </c>
      <c r="D332" s="43">
        <v>2000</v>
      </c>
      <c r="E332" s="35">
        <v>3500</v>
      </c>
    </row>
    <row r="333" spans="1:5" ht="16.5" thickBot="1" x14ac:dyDescent="0.3">
      <c r="A333" s="67" t="s">
        <v>228</v>
      </c>
      <c r="B333" s="7" t="s">
        <v>109</v>
      </c>
      <c r="C333" s="43">
        <v>0</v>
      </c>
      <c r="D333" s="43">
        <v>134479</v>
      </c>
      <c r="E333" s="35">
        <v>191289</v>
      </c>
    </row>
    <row r="334" spans="1:5" ht="17.25" thickTop="1" thickBot="1" x14ac:dyDescent="0.3">
      <c r="A334" s="64"/>
      <c r="B334" s="17" t="s">
        <v>6</v>
      </c>
      <c r="C334" s="44">
        <f>SUM(C331:C333)</f>
        <v>505749.81</v>
      </c>
      <c r="D334" s="44">
        <f>SUM(D331:D333)</f>
        <v>646479</v>
      </c>
      <c r="E334" s="44">
        <v>503489</v>
      </c>
    </row>
    <row r="335" spans="1:5" ht="16.5" thickTop="1" x14ac:dyDescent="0.25">
      <c r="A335" s="64"/>
      <c r="B335" s="15"/>
      <c r="C335" s="45"/>
      <c r="D335" s="45"/>
    </row>
    <row r="336" spans="1:5" ht="15.75" x14ac:dyDescent="0.25">
      <c r="A336" s="67" t="s">
        <v>431</v>
      </c>
      <c r="B336" s="7" t="s">
        <v>25</v>
      </c>
      <c r="C336" s="43">
        <v>153620.29</v>
      </c>
      <c r="D336" s="43">
        <v>286729</v>
      </c>
      <c r="E336" s="35">
        <v>311893</v>
      </c>
    </row>
    <row r="337" spans="1:5" ht="15.75" x14ac:dyDescent="0.25">
      <c r="A337" s="67" t="s">
        <v>73</v>
      </c>
      <c r="B337" s="16" t="s">
        <v>304</v>
      </c>
      <c r="C337" s="43">
        <f>399796.28-C336-C338</f>
        <v>237730.99000000002</v>
      </c>
      <c r="D337" s="43">
        <f>646479-286729-47000</f>
        <v>312750</v>
      </c>
      <c r="E337" s="35">
        <v>166596</v>
      </c>
    </row>
    <row r="338" spans="1:5" ht="15.75" x14ac:dyDescent="0.25">
      <c r="A338" s="67" t="s">
        <v>432</v>
      </c>
      <c r="B338" s="7" t="s">
        <v>234</v>
      </c>
      <c r="C338" s="43">
        <v>8445</v>
      </c>
      <c r="D338" s="43">
        <v>0</v>
      </c>
      <c r="E338" s="35">
        <v>0</v>
      </c>
    </row>
    <row r="339" spans="1:5" ht="16.5" thickBot="1" x14ac:dyDescent="0.3">
      <c r="A339" s="64" t="s">
        <v>302</v>
      </c>
      <c r="B339" s="7" t="s">
        <v>235</v>
      </c>
      <c r="C339" s="43">
        <f>C334-399796.28</f>
        <v>105953.52999999997</v>
      </c>
      <c r="D339" s="43">
        <v>47000</v>
      </c>
      <c r="E339" s="35">
        <v>25000</v>
      </c>
    </row>
    <row r="340" spans="1:5" ht="17.25" thickTop="1" thickBot="1" x14ac:dyDescent="0.3">
      <c r="A340" s="67"/>
      <c r="B340" s="17" t="s">
        <v>51</v>
      </c>
      <c r="C340" s="51">
        <f>SUM(C336:C339)</f>
        <v>505749.81</v>
      </c>
      <c r="D340" s="51">
        <f>SUM(D336:D339)</f>
        <v>646479</v>
      </c>
      <c r="E340" s="51">
        <v>503489</v>
      </c>
    </row>
    <row r="341" spans="1:5" ht="17.25" thickTop="1" thickBot="1" x14ac:dyDescent="0.3">
      <c r="A341" s="64"/>
      <c r="B341" s="15"/>
    </row>
    <row r="342" spans="1:5" ht="21" thickTop="1" thickBot="1" x14ac:dyDescent="0.45">
      <c r="A342" s="64"/>
      <c r="B342" s="29" t="s">
        <v>361</v>
      </c>
      <c r="C342" s="45"/>
      <c r="D342" s="45"/>
    </row>
    <row r="343" spans="1:5" ht="16.5" thickTop="1" x14ac:dyDescent="0.25">
      <c r="A343" s="64"/>
      <c r="B343" s="4" t="s">
        <v>2</v>
      </c>
      <c r="C343" s="45"/>
      <c r="D343" s="45"/>
    </row>
    <row r="344" spans="1:5" ht="15.75" x14ac:dyDescent="0.25">
      <c r="A344" s="64" t="s">
        <v>115</v>
      </c>
      <c r="B344" s="7" t="s">
        <v>123</v>
      </c>
      <c r="C344" s="43">
        <v>1130.8800000000001</v>
      </c>
      <c r="D344" s="43">
        <v>0</v>
      </c>
      <c r="E344" s="35">
        <v>0</v>
      </c>
    </row>
    <row r="345" spans="1:5" ht="15.75" x14ac:dyDescent="0.25">
      <c r="A345" s="64" t="s">
        <v>117</v>
      </c>
      <c r="B345" s="16" t="s">
        <v>118</v>
      </c>
      <c r="C345" s="43">
        <v>2069086.45</v>
      </c>
      <c r="D345" s="43">
        <f>2338198+76145</f>
        <v>2414343</v>
      </c>
      <c r="E345" s="35">
        <v>2885220</v>
      </c>
    </row>
    <row r="346" spans="1:5" ht="15.75" x14ac:dyDescent="0.25">
      <c r="A346" s="64" t="s">
        <v>119</v>
      </c>
      <c r="B346" s="16" t="s">
        <v>120</v>
      </c>
      <c r="C346" s="43">
        <v>20368.28</v>
      </c>
      <c r="D346" s="43">
        <v>0</v>
      </c>
      <c r="E346" s="35">
        <v>0</v>
      </c>
    </row>
    <row r="347" spans="1:5" ht="15.75" x14ac:dyDescent="0.25">
      <c r="A347" s="67" t="s">
        <v>106</v>
      </c>
      <c r="B347" s="12" t="s">
        <v>121</v>
      </c>
      <c r="C347" s="43">
        <v>156088.04999999999</v>
      </c>
      <c r="D347" s="43">
        <v>31368</v>
      </c>
      <c r="E347" s="35">
        <v>26676</v>
      </c>
    </row>
    <row r="348" spans="1:5" ht="16.5" thickBot="1" x14ac:dyDescent="0.3">
      <c r="A348" s="67" t="s">
        <v>228</v>
      </c>
      <c r="B348" s="7" t="s">
        <v>189</v>
      </c>
      <c r="C348" s="43">
        <v>0</v>
      </c>
      <c r="D348" s="43">
        <v>0</v>
      </c>
      <c r="E348" s="35">
        <v>0</v>
      </c>
    </row>
    <row r="349" spans="1:5" ht="17.25" thickTop="1" thickBot="1" x14ac:dyDescent="0.3">
      <c r="A349" s="64"/>
      <c r="B349" s="17" t="s">
        <v>6</v>
      </c>
      <c r="C349" s="44">
        <f>SUM(C344:C348)</f>
        <v>2246673.6599999997</v>
      </c>
      <c r="D349" s="44">
        <f>SUM(D344:D348)</f>
        <v>2445711</v>
      </c>
      <c r="E349" s="44">
        <v>2911896</v>
      </c>
    </row>
    <row r="350" spans="1:5" ht="16.5" thickTop="1" x14ac:dyDescent="0.25">
      <c r="A350" s="64"/>
      <c r="B350" s="15"/>
      <c r="C350" s="45"/>
      <c r="D350" s="45"/>
    </row>
    <row r="351" spans="1:5" ht="15.75" x14ac:dyDescent="0.25">
      <c r="A351" s="64"/>
      <c r="B351" s="4" t="s">
        <v>7</v>
      </c>
      <c r="C351" s="45"/>
      <c r="D351" s="45"/>
    </row>
    <row r="352" spans="1:5" ht="15.75" x14ac:dyDescent="0.25">
      <c r="A352" s="67" t="s">
        <v>384</v>
      </c>
      <c r="B352" s="7" t="s">
        <v>385</v>
      </c>
      <c r="C352" s="43">
        <f>SUM(C353:C356)</f>
        <v>1891081.29</v>
      </c>
      <c r="D352" s="43">
        <f>SUM(D353:D356)</f>
        <v>2041468</v>
      </c>
      <c r="E352" s="40">
        <v>2251726</v>
      </c>
    </row>
    <row r="353" spans="1:5" ht="15.75" x14ac:dyDescent="0.25">
      <c r="A353" s="67"/>
      <c r="B353" s="59" t="s">
        <v>461</v>
      </c>
      <c r="C353" s="60">
        <v>1366003.22</v>
      </c>
      <c r="D353" s="60">
        <f>1430385+37654</f>
        <v>1468039</v>
      </c>
      <c r="E353" s="60">
        <v>1621932</v>
      </c>
    </row>
    <row r="354" spans="1:5" ht="15.75" x14ac:dyDescent="0.25">
      <c r="A354" s="67"/>
      <c r="B354" s="59" t="s">
        <v>464</v>
      </c>
      <c r="C354" s="60">
        <v>293181.17</v>
      </c>
      <c r="D354" s="60">
        <v>342420</v>
      </c>
      <c r="E354" s="60">
        <v>363033</v>
      </c>
    </row>
    <row r="355" spans="1:5" ht="15.75" x14ac:dyDescent="0.25">
      <c r="A355" s="67"/>
      <c r="B355" s="59" t="s">
        <v>462</v>
      </c>
      <c r="C355" s="60">
        <v>0</v>
      </c>
      <c r="D355" s="60">
        <v>0</v>
      </c>
      <c r="E355" s="60">
        <v>0</v>
      </c>
    </row>
    <row r="356" spans="1:5" ht="15.75" x14ac:dyDescent="0.25">
      <c r="A356" s="67"/>
      <c r="B356" s="59" t="s">
        <v>463</v>
      </c>
      <c r="C356" s="60">
        <f>1891081.29-C353-C354-C355</f>
        <v>231896.90000000008</v>
      </c>
      <c r="D356" s="60">
        <f>1968356+107213-34101-1468039-342420</f>
        <v>231009</v>
      </c>
      <c r="E356" s="60">
        <v>266761</v>
      </c>
    </row>
    <row r="357" spans="1:5" ht="15.75" x14ac:dyDescent="0.25">
      <c r="A357" s="67" t="s">
        <v>386</v>
      </c>
      <c r="B357" s="7" t="s">
        <v>387</v>
      </c>
      <c r="C357" s="43">
        <f>SUM(C358:C361)</f>
        <v>94910.21</v>
      </c>
      <c r="D357" s="43">
        <f>SUM(D358:D361)</f>
        <v>100790</v>
      </c>
      <c r="E357" s="40">
        <v>114720</v>
      </c>
    </row>
    <row r="358" spans="1:5" ht="15.75" x14ac:dyDescent="0.25">
      <c r="A358" s="67"/>
      <c r="B358" s="59" t="s">
        <v>461</v>
      </c>
      <c r="C358" s="60">
        <v>81687.3</v>
      </c>
      <c r="D358" s="60">
        <v>86788</v>
      </c>
      <c r="E358" s="60">
        <v>100880</v>
      </c>
    </row>
    <row r="359" spans="1:5" ht="15.75" x14ac:dyDescent="0.25">
      <c r="A359" s="67"/>
      <c r="B359" s="59" t="s">
        <v>464</v>
      </c>
      <c r="C359" s="60">
        <v>10368.33</v>
      </c>
      <c r="D359" s="60">
        <v>9837</v>
      </c>
      <c r="E359" s="60">
        <v>9695</v>
      </c>
    </row>
    <row r="360" spans="1:5" ht="15.75" x14ac:dyDescent="0.25">
      <c r="A360" s="67"/>
      <c r="B360" s="59" t="s">
        <v>462</v>
      </c>
      <c r="C360" s="60">
        <v>0</v>
      </c>
      <c r="D360" s="60">
        <v>0</v>
      </c>
      <c r="E360" s="60">
        <v>0</v>
      </c>
    </row>
    <row r="361" spans="1:5" ht="15.75" x14ac:dyDescent="0.25">
      <c r="A361" s="67"/>
      <c r="B361" s="59" t="s">
        <v>463</v>
      </c>
      <c r="C361" s="60">
        <f>94910.21-C358-C359</f>
        <v>2854.5800000000036</v>
      </c>
      <c r="D361" s="60">
        <f>100790-86788-9837</f>
        <v>4165</v>
      </c>
      <c r="E361" s="60">
        <v>4145</v>
      </c>
    </row>
    <row r="362" spans="1:5" ht="15.75" x14ac:dyDescent="0.25">
      <c r="A362" s="67" t="s">
        <v>388</v>
      </c>
      <c r="B362" s="7" t="s">
        <v>389</v>
      </c>
      <c r="C362" s="43">
        <f>SUM(C363:C366)</f>
        <v>110747.34</v>
      </c>
      <c r="D362" s="43">
        <f>SUM(D363:D366)</f>
        <v>123344</v>
      </c>
      <c r="E362" s="40">
        <v>127232</v>
      </c>
    </row>
    <row r="363" spans="1:5" ht="15.75" x14ac:dyDescent="0.25">
      <c r="A363" s="67"/>
      <c r="B363" s="59" t="s">
        <v>461</v>
      </c>
      <c r="C363" s="60">
        <v>97525.09</v>
      </c>
      <c r="D363" s="60">
        <v>105430</v>
      </c>
      <c r="E363" s="60">
        <v>110053</v>
      </c>
    </row>
    <row r="364" spans="1:5" ht="15.75" x14ac:dyDescent="0.25">
      <c r="A364" s="67"/>
      <c r="B364" s="59" t="s">
        <v>464</v>
      </c>
      <c r="C364" s="60">
        <v>10574.6</v>
      </c>
      <c r="D364" s="60">
        <v>13399</v>
      </c>
      <c r="E364" s="60">
        <v>12684</v>
      </c>
    </row>
    <row r="365" spans="1:5" ht="15.75" x14ac:dyDescent="0.25">
      <c r="A365" s="67"/>
      <c r="B365" s="59" t="s">
        <v>462</v>
      </c>
      <c r="C365" s="60">
        <v>0</v>
      </c>
      <c r="D365" s="60">
        <v>0</v>
      </c>
      <c r="E365" s="60">
        <v>0</v>
      </c>
    </row>
    <row r="366" spans="1:5" ht="15.75" x14ac:dyDescent="0.25">
      <c r="A366" s="67"/>
      <c r="B366" s="59" t="s">
        <v>463</v>
      </c>
      <c r="C366" s="60">
        <f>110747.34-C363-C364</f>
        <v>2647.6499999999996</v>
      </c>
      <c r="D366" s="60">
        <f>123344-105430-13399</f>
        <v>4515</v>
      </c>
      <c r="E366" s="60">
        <v>4495</v>
      </c>
    </row>
    <row r="367" spans="1:5" ht="15.75" x14ac:dyDescent="0.25">
      <c r="A367" s="67" t="s">
        <v>390</v>
      </c>
      <c r="B367" s="7" t="s">
        <v>391</v>
      </c>
      <c r="C367" s="43">
        <f>SUM(C368:C371)</f>
        <v>149934.82</v>
      </c>
      <c r="D367" s="43">
        <f>SUM(D368:D371)</f>
        <v>146008</v>
      </c>
      <c r="E367" s="40">
        <v>141542</v>
      </c>
    </row>
    <row r="368" spans="1:5" ht="15.75" x14ac:dyDescent="0.25">
      <c r="A368" s="67"/>
      <c r="B368" s="59" t="s">
        <v>461</v>
      </c>
      <c r="C368" s="60">
        <v>122810.7</v>
      </c>
      <c r="D368" s="60">
        <v>118934</v>
      </c>
      <c r="E368" s="60">
        <v>116846</v>
      </c>
    </row>
    <row r="369" spans="1:5" ht="15.75" x14ac:dyDescent="0.25">
      <c r="A369" s="67"/>
      <c r="B369" s="59" t="s">
        <v>464</v>
      </c>
      <c r="C369" s="60">
        <v>24707.38</v>
      </c>
      <c r="D369" s="60">
        <v>22849</v>
      </c>
      <c r="E369" s="60">
        <v>20791</v>
      </c>
    </row>
    <row r="370" spans="1:5" ht="15.75" x14ac:dyDescent="0.25">
      <c r="A370" s="67"/>
      <c r="B370" s="59" t="s">
        <v>462</v>
      </c>
      <c r="C370" s="60">
        <v>0</v>
      </c>
      <c r="D370" s="60">
        <v>0</v>
      </c>
      <c r="E370" s="60">
        <v>0</v>
      </c>
    </row>
    <row r="371" spans="1:5" ht="15.75" x14ac:dyDescent="0.25">
      <c r="A371" s="67"/>
      <c r="B371" s="59" t="s">
        <v>463</v>
      </c>
      <c r="C371" s="60">
        <f>149934.82-C368-C369</f>
        <v>2416.7400000000089</v>
      </c>
      <c r="D371" s="60">
        <f>145708+300-118934-22849</f>
        <v>4225</v>
      </c>
      <c r="E371" s="60">
        <v>3905</v>
      </c>
    </row>
    <row r="372" spans="1:5" ht="16.5" thickBot="1" x14ac:dyDescent="0.3">
      <c r="A372" s="64" t="s">
        <v>392</v>
      </c>
      <c r="B372" s="7" t="s">
        <v>235</v>
      </c>
      <c r="C372" s="43">
        <v>0</v>
      </c>
      <c r="D372" s="43">
        <v>34101</v>
      </c>
      <c r="E372" s="35">
        <v>276676</v>
      </c>
    </row>
    <row r="373" spans="1:5" ht="17.25" thickTop="1" thickBot="1" x14ac:dyDescent="0.3">
      <c r="A373" s="64"/>
      <c r="B373" s="17" t="s">
        <v>51</v>
      </c>
      <c r="C373" s="44">
        <f>C352+C357+C362+C367+C372</f>
        <v>2246673.66</v>
      </c>
      <c r="D373" s="44">
        <f>D352+D357+D362+D367+D372</f>
        <v>2445711</v>
      </c>
      <c r="E373" s="44">
        <v>2911896</v>
      </c>
    </row>
    <row r="374" spans="1:5" ht="17.25" thickTop="1" thickBot="1" x14ac:dyDescent="0.3">
      <c r="A374" s="64"/>
      <c r="B374" s="15"/>
      <c r="C374" s="45"/>
      <c r="D374" s="45"/>
    </row>
    <row r="375" spans="1:5" ht="21" thickTop="1" thickBot="1" x14ac:dyDescent="0.45">
      <c r="A375" s="64"/>
      <c r="B375" s="29" t="s">
        <v>183</v>
      </c>
    </row>
    <row r="376" spans="1:5" ht="16.5" thickTop="1" x14ac:dyDescent="0.25">
      <c r="A376" s="64"/>
      <c r="B376" s="4" t="s">
        <v>2</v>
      </c>
    </row>
    <row r="377" spans="1:5" ht="15.75" x14ac:dyDescent="0.25">
      <c r="A377" s="64" t="s">
        <v>74</v>
      </c>
      <c r="B377" s="7" t="s">
        <v>192</v>
      </c>
      <c r="C377" s="43">
        <v>1657229</v>
      </c>
      <c r="D377" s="43">
        <v>1700000</v>
      </c>
      <c r="E377" s="35">
        <v>1764390</v>
      </c>
    </row>
    <row r="378" spans="1:5" ht="15.75" x14ac:dyDescent="0.25">
      <c r="A378" s="64" t="s">
        <v>193</v>
      </c>
      <c r="B378" s="16" t="s">
        <v>194</v>
      </c>
      <c r="C378" s="43">
        <v>690512.09</v>
      </c>
      <c r="D378" s="43">
        <v>708000</v>
      </c>
      <c r="E378" s="35">
        <v>734390</v>
      </c>
    </row>
    <row r="379" spans="1:5" ht="15.75" x14ac:dyDescent="0.25">
      <c r="A379" s="64" t="s">
        <v>119</v>
      </c>
      <c r="B379" s="16" t="s">
        <v>120</v>
      </c>
      <c r="C379" s="43">
        <v>0</v>
      </c>
      <c r="D379" s="43">
        <v>1000</v>
      </c>
      <c r="E379" s="35">
        <v>200</v>
      </c>
    </row>
    <row r="380" spans="1:5" ht="16.5" thickBot="1" x14ac:dyDescent="0.3">
      <c r="A380" s="67" t="s">
        <v>228</v>
      </c>
      <c r="B380" s="7" t="s">
        <v>109</v>
      </c>
      <c r="C380" s="43">
        <f>2361153.8-C377-C378</f>
        <v>13412.709999999846</v>
      </c>
      <c r="D380" s="43">
        <v>444000</v>
      </c>
      <c r="E380" s="35">
        <v>430807</v>
      </c>
    </row>
    <row r="381" spans="1:5" ht="17.25" thickTop="1" thickBot="1" x14ac:dyDescent="0.3">
      <c r="A381" s="64"/>
      <c r="B381" s="17" t="s">
        <v>6</v>
      </c>
      <c r="C381" s="44">
        <f>SUM(C377:C380)</f>
        <v>2361153.7999999998</v>
      </c>
      <c r="D381" s="44">
        <f>SUM(D377:D380)</f>
        <v>2853000</v>
      </c>
      <c r="E381" s="44">
        <v>2929787</v>
      </c>
    </row>
    <row r="382" spans="1:5" ht="16.5" thickTop="1" x14ac:dyDescent="0.25">
      <c r="A382" s="64"/>
      <c r="B382" s="10"/>
    </row>
    <row r="383" spans="1:5" ht="15.75" x14ac:dyDescent="0.25">
      <c r="A383" s="64"/>
      <c r="B383" s="4" t="s">
        <v>7</v>
      </c>
    </row>
    <row r="384" spans="1:5" ht="15.75" x14ac:dyDescent="0.25">
      <c r="A384" s="67" t="s">
        <v>165</v>
      </c>
      <c r="B384" s="7" t="s">
        <v>125</v>
      </c>
      <c r="C384" s="43">
        <v>1070678</v>
      </c>
      <c r="D384" s="43">
        <v>1393900</v>
      </c>
      <c r="E384" s="35">
        <v>1551641</v>
      </c>
    </row>
    <row r="385" spans="1:5" ht="15.75" x14ac:dyDescent="0.25">
      <c r="A385" s="67" t="s">
        <v>165</v>
      </c>
      <c r="B385" s="7" t="s">
        <v>433</v>
      </c>
      <c r="C385" s="43">
        <v>113000</v>
      </c>
      <c r="D385" s="43">
        <v>113000</v>
      </c>
      <c r="E385" s="35">
        <v>113000</v>
      </c>
    </row>
    <row r="386" spans="1:5" ht="15.75" x14ac:dyDescent="0.25">
      <c r="A386" s="67" t="s">
        <v>75</v>
      </c>
      <c r="B386" s="7" t="s">
        <v>178</v>
      </c>
      <c r="C386" s="43">
        <v>10019.77</v>
      </c>
      <c r="D386" s="43">
        <v>15000</v>
      </c>
      <c r="E386" s="35">
        <v>0</v>
      </c>
    </row>
    <row r="387" spans="1:5" ht="15.75" x14ac:dyDescent="0.25">
      <c r="A387" s="67" t="s">
        <v>303</v>
      </c>
      <c r="B387" s="16" t="s">
        <v>278</v>
      </c>
      <c r="C387" s="43">
        <v>1167456.03</v>
      </c>
      <c r="D387" s="43">
        <v>1036380</v>
      </c>
      <c r="E387" s="35">
        <v>891312</v>
      </c>
    </row>
    <row r="388" spans="1:5" ht="16.5" thickBot="1" x14ac:dyDescent="0.3">
      <c r="A388" s="67" t="s">
        <v>179</v>
      </c>
      <c r="B388" s="7" t="s">
        <v>235</v>
      </c>
      <c r="C388" s="43">
        <v>0</v>
      </c>
      <c r="D388" s="43">
        <v>294720</v>
      </c>
      <c r="E388" s="35">
        <v>373834</v>
      </c>
    </row>
    <row r="389" spans="1:5" ht="17.25" thickTop="1" thickBot="1" x14ac:dyDescent="0.3">
      <c r="A389" s="64" t="s">
        <v>8</v>
      </c>
      <c r="B389" s="17" t="s">
        <v>51</v>
      </c>
      <c r="C389" s="44">
        <f>SUM(C384:C388)</f>
        <v>2361153.7999999998</v>
      </c>
      <c r="D389" s="44">
        <f>SUM(D384:D388)</f>
        <v>2853000</v>
      </c>
      <c r="E389" s="44">
        <v>2929787</v>
      </c>
    </row>
    <row r="390" spans="1:5" ht="17.25" thickTop="1" thickBot="1" x14ac:dyDescent="0.3">
      <c r="A390" s="64"/>
      <c r="B390" s="10"/>
    </row>
    <row r="391" spans="1:5" ht="21" thickTop="1" thickBot="1" x14ac:dyDescent="0.45">
      <c r="A391" s="64"/>
      <c r="B391" s="29" t="s">
        <v>184</v>
      </c>
    </row>
    <row r="392" spans="1:5" ht="16.5" thickTop="1" x14ac:dyDescent="0.25">
      <c r="A392" s="64"/>
      <c r="B392" s="4" t="s">
        <v>2</v>
      </c>
    </row>
    <row r="393" spans="1:5" ht="15.75" x14ac:dyDescent="0.25">
      <c r="A393" s="67" t="s">
        <v>262</v>
      </c>
      <c r="B393" s="7" t="s">
        <v>76</v>
      </c>
      <c r="C393" s="43">
        <v>5661377.5800000001</v>
      </c>
      <c r="D393" s="43">
        <v>5675000</v>
      </c>
      <c r="E393" s="35">
        <v>6100000</v>
      </c>
    </row>
    <row r="394" spans="1:5" ht="15.75" x14ac:dyDescent="0.25">
      <c r="A394" s="67" t="s">
        <v>263</v>
      </c>
      <c r="B394" s="7" t="s">
        <v>124</v>
      </c>
      <c r="C394" s="43">
        <v>822733.53</v>
      </c>
      <c r="D394" s="43">
        <v>800000</v>
      </c>
      <c r="E394" s="35">
        <v>950000</v>
      </c>
    </row>
    <row r="395" spans="1:5" ht="15.75" x14ac:dyDescent="0.25">
      <c r="A395" s="64" t="s">
        <v>115</v>
      </c>
      <c r="B395" s="7" t="s">
        <v>123</v>
      </c>
      <c r="C395" s="43">
        <v>0</v>
      </c>
      <c r="D395" s="43">
        <v>0</v>
      </c>
      <c r="E395" s="35">
        <v>0</v>
      </c>
    </row>
    <row r="396" spans="1:5" ht="15.75" x14ac:dyDescent="0.25">
      <c r="A396" s="64" t="s">
        <v>117</v>
      </c>
      <c r="B396" s="7" t="s">
        <v>118</v>
      </c>
      <c r="C396" s="43">
        <v>17200</v>
      </c>
      <c r="D396" s="43">
        <v>15000</v>
      </c>
      <c r="E396" s="35">
        <v>15000</v>
      </c>
    </row>
    <row r="397" spans="1:5" ht="15.75" x14ac:dyDescent="0.25">
      <c r="A397" s="67" t="s">
        <v>409</v>
      </c>
      <c r="B397" s="7" t="s">
        <v>19</v>
      </c>
      <c r="C397" s="35">
        <v>0</v>
      </c>
      <c r="D397" s="35">
        <v>120000</v>
      </c>
      <c r="E397" s="35">
        <v>140000</v>
      </c>
    </row>
    <row r="398" spans="1:5" ht="15.75" x14ac:dyDescent="0.25">
      <c r="A398" s="64" t="s">
        <v>119</v>
      </c>
      <c r="B398" s="16" t="s">
        <v>120</v>
      </c>
      <c r="C398" s="43">
        <f>47780+2145</f>
        <v>49925</v>
      </c>
      <c r="D398" s="43">
        <v>50000</v>
      </c>
      <c r="E398" s="35">
        <v>30000</v>
      </c>
    </row>
    <row r="399" spans="1:5" ht="15.75" x14ac:dyDescent="0.25">
      <c r="A399" s="64" t="s">
        <v>119</v>
      </c>
      <c r="B399" s="63" t="s">
        <v>373</v>
      </c>
      <c r="C399" s="43">
        <v>3953901.38</v>
      </c>
      <c r="D399" s="43">
        <v>0</v>
      </c>
      <c r="E399" s="35">
        <v>0</v>
      </c>
    </row>
    <row r="400" spans="1:5" ht="16.5" thickBot="1" x14ac:dyDescent="0.3">
      <c r="A400" s="67" t="s">
        <v>228</v>
      </c>
      <c r="B400" s="7" t="s">
        <v>109</v>
      </c>
      <c r="C400" s="43">
        <v>0</v>
      </c>
      <c r="D400" s="43">
        <v>3118000</v>
      </c>
      <c r="E400" s="35">
        <v>4682245</v>
      </c>
    </row>
    <row r="401" spans="1:5" ht="17.25" thickTop="1" thickBot="1" x14ac:dyDescent="0.3">
      <c r="A401" s="64"/>
      <c r="B401" s="17" t="s">
        <v>6</v>
      </c>
      <c r="C401" s="44">
        <f>SUM(C393:C400)</f>
        <v>10505137.49</v>
      </c>
      <c r="D401" s="44">
        <f>SUM(D393:D400)</f>
        <v>9778000</v>
      </c>
      <c r="E401" s="44">
        <v>11917245</v>
      </c>
    </row>
    <row r="402" spans="1:5" ht="16.5" thickTop="1" x14ac:dyDescent="0.25">
      <c r="A402" s="64"/>
      <c r="B402" s="15"/>
      <c r="C402" s="45"/>
      <c r="D402" s="45"/>
    </row>
    <row r="403" spans="1:5" ht="15.75" x14ac:dyDescent="0.25">
      <c r="A403" s="64"/>
      <c r="B403" s="4" t="s">
        <v>7</v>
      </c>
      <c r="C403" s="45"/>
      <c r="D403" s="45"/>
    </row>
    <row r="404" spans="1:5" ht="15.75" x14ac:dyDescent="0.25">
      <c r="A404" s="67" t="s">
        <v>46</v>
      </c>
      <c r="B404" s="16" t="s">
        <v>452</v>
      </c>
      <c r="C404" s="43">
        <f>SUM(C405:C408)</f>
        <v>1074973.96</v>
      </c>
      <c r="D404" s="43">
        <f>SUM(D405:D408)</f>
        <v>1210585</v>
      </c>
      <c r="E404" s="40">
        <v>1184899</v>
      </c>
    </row>
    <row r="405" spans="1:5" ht="15.75" x14ac:dyDescent="0.25">
      <c r="A405" s="67"/>
      <c r="B405" s="59" t="s">
        <v>461</v>
      </c>
      <c r="C405" s="60">
        <v>563597.74</v>
      </c>
      <c r="D405" s="60">
        <v>656318</v>
      </c>
      <c r="E405" s="60">
        <v>690220</v>
      </c>
    </row>
    <row r="406" spans="1:5" ht="15.75" x14ac:dyDescent="0.25">
      <c r="A406" s="67"/>
      <c r="B406" s="59" t="s">
        <v>464</v>
      </c>
      <c r="C406" s="60">
        <v>150309.88</v>
      </c>
      <c r="D406" s="60">
        <v>221839</v>
      </c>
      <c r="E406" s="60">
        <v>168254</v>
      </c>
    </row>
    <row r="407" spans="1:5" ht="15.75" x14ac:dyDescent="0.25">
      <c r="A407" s="67"/>
      <c r="B407" s="59" t="s">
        <v>462</v>
      </c>
      <c r="C407" s="60">
        <v>24598</v>
      </c>
      <c r="D407" s="60">
        <v>0</v>
      </c>
      <c r="E407" s="60">
        <v>0</v>
      </c>
    </row>
    <row r="408" spans="1:5" ht="15.75" x14ac:dyDescent="0.25">
      <c r="A408" s="67"/>
      <c r="B408" s="59" t="s">
        <v>463</v>
      </c>
      <c r="C408" s="60">
        <f>1074973.96-C405-C406-C407</f>
        <v>336468.33999999997</v>
      </c>
      <c r="D408" s="60">
        <f>1095181+115404-656318-221839</f>
        <v>332428</v>
      </c>
      <c r="E408" s="60">
        <v>326425</v>
      </c>
    </row>
    <row r="409" spans="1:5" ht="15.75" x14ac:dyDescent="0.25">
      <c r="A409" s="67" t="s">
        <v>185</v>
      </c>
      <c r="B409" s="16" t="s">
        <v>304</v>
      </c>
      <c r="C409" s="43">
        <f>28000+187351.11</f>
        <v>215351.11</v>
      </c>
      <c r="D409" s="43">
        <f>18000+386079+273377</f>
        <v>677456</v>
      </c>
      <c r="E409" s="35">
        <v>196228</v>
      </c>
    </row>
    <row r="410" spans="1:5" ht="15.75" x14ac:dyDescent="0.25">
      <c r="A410" s="67" t="s">
        <v>185</v>
      </c>
      <c r="B410" s="16" t="s">
        <v>396</v>
      </c>
      <c r="C410" s="43">
        <v>1135516.23</v>
      </c>
      <c r="D410" s="43">
        <f>1831498-3400</f>
        <v>1828098</v>
      </c>
      <c r="E410" s="35">
        <v>1044512</v>
      </c>
    </row>
    <row r="411" spans="1:5" ht="15.75" x14ac:dyDescent="0.25">
      <c r="A411" s="64" t="s">
        <v>126</v>
      </c>
      <c r="B411" s="16" t="s">
        <v>77</v>
      </c>
      <c r="C411" s="43">
        <v>104154.5</v>
      </c>
      <c r="D411" s="43">
        <f>104113+114</f>
        <v>104227</v>
      </c>
      <c r="E411" s="35">
        <v>104257</v>
      </c>
    </row>
    <row r="412" spans="1:5" ht="15.75" x14ac:dyDescent="0.25">
      <c r="A412" s="64" t="s">
        <v>126</v>
      </c>
      <c r="B412" s="16" t="s">
        <v>186</v>
      </c>
      <c r="C412" s="43">
        <v>194902</v>
      </c>
      <c r="D412" s="43">
        <v>249700</v>
      </c>
      <c r="E412" s="35">
        <v>200000</v>
      </c>
    </row>
    <row r="413" spans="1:5" ht="15.75" x14ac:dyDescent="0.25">
      <c r="A413" s="64" t="s">
        <v>126</v>
      </c>
      <c r="B413" s="16" t="s">
        <v>451</v>
      </c>
      <c r="C413" s="43">
        <f>1600+2157.03</f>
        <v>3757.03</v>
      </c>
      <c r="D413" s="43">
        <v>5000</v>
      </c>
      <c r="E413" s="35">
        <v>8000</v>
      </c>
    </row>
    <row r="414" spans="1:5" ht="15.75" x14ac:dyDescent="0.25">
      <c r="A414" s="64" t="s">
        <v>126</v>
      </c>
      <c r="B414" s="63" t="s">
        <v>472</v>
      </c>
      <c r="C414" s="43">
        <f>300000+3953901.38</f>
        <v>4253901.38</v>
      </c>
      <c r="D414" s="43">
        <v>0</v>
      </c>
      <c r="E414" s="35">
        <v>0</v>
      </c>
    </row>
    <row r="415" spans="1:5" ht="15.75" x14ac:dyDescent="0.25">
      <c r="A415" s="67" t="s">
        <v>185</v>
      </c>
      <c r="B415" s="16" t="s">
        <v>434</v>
      </c>
      <c r="C415" s="43">
        <v>197889</v>
      </c>
      <c r="D415" s="43">
        <v>200000</v>
      </c>
      <c r="E415" s="35">
        <v>200000</v>
      </c>
    </row>
    <row r="416" spans="1:5" ht="15.75" x14ac:dyDescent="0.25">
      <c r="A416" s="64" t="s">
        <v>78</v>
      </c>
      <c r="B416" s="16" t="s">
        <v>278</v>
      </c>
      <c r="C416" s="43">
        <v>1113835.6399999999</v>
      </c>
      <c r="D416" s="43">
        <v>1167933</v>
      </c>
      <c r="E416" s="35">
        <v>1352813</v>
      </c>
    </row>
    <row r="417" spans="1:5" ht="15.75" x14ac:dyDescent="0.25">
      <c r="A417" s="64" t="s">
        <v>78</v>
      </c>
      <c r="B417" s="16" t="s">
        <v>397</v>
      </c>
      <c r="C417" s="43">
        <v>136678.96</v>
      </c>
      <c r="D417" s="43">
        <v>284776</v>
      </c>
      <c r="E417" s="35">
        <v>287176</v>
      </c>
    </row>
    <row r="418" spans="1:5" ht="15.75" x14ac:dyDescent="0.25">
      <c r="A418" s="64" t="s">
        <v>78</v>
      </c>
      <c r="B418" s="16" t="s">
        <v>408</v>
      </c>
      <c r="C418" s="43">
        <v>180280.69</v>
      </c>
      <c r="D418" s="43">
        <v>161369</v>
      </c>
      <c r="E418" s="35">
        <v>0</v>
      </c>
    </row>
    <row r="419" spans="1:5" ht="15.75" x14ac:dyDescent="0.25">
      <c r="A419" s="64" t="s">
        <v>78</v>
      </c>
      <c r="B419" s="16" t="s">
        <v>412</v>
      </c>
      <c r="C419" s="43">
        <v>48655.87</v>
      </c>
      <c r="D419" s="43">
        <v>1600000</v>
      </c>
      <c r="E419" s="35">
        <v>1600000</v>
      </c>
    </row>
    <row r="420" spans="1:5" ht="15.75" x14ac:dyDescent="0.25">
      <c r="A420" s="64" t="s">
        <v>171</v>
      </c>
      <c r="B420" s="16" t="s">
        <v>235</v>
      </c>
      <c r="C420" s="43">
        <f>C401-8915876.23</f>
        <v>1589261.2599999998</v>
      </c>
      <c r="D420" s="43">
        <v>1932369</v>
      </c>
      <c r="E420" s="35">
        <v>5389360</v>
      </c>
    </row>
    <row r="421" spans="1:5" ht="16.5" thickBot="1" x14ac:dyDescent="0.3">
      <c r="A421" s="64" t="s">
        <v>473</v>
      </c>
      <c r="B421" s="16" t="s">
        <v>305</v>
      </c>
      <c r="C421" s="43">
        <v>255979.86</v>
      </c>
      <c r="D421" s="43">
        <v>356487</v>
      </c>
      <c r="E421" s="35">
        <v>350000</v>
      </c>
    </row>
    <row r="422" spans="1:5" ht="17.25" thickTop="1" thickBot="1" x14ac:dyDescent="0.3">
      <c r="A422" s="64"/>
      <c r="B422" s="17" t="s">
        <v>51</v>
      </c>
      <c r="C422" s="41">
        <f>C404+SUM(C409:C421)</f>
        <v>10505137.489999998</v>
      </c>
      <c r="D422" s="41">
        <f>D404+SUM(D409:D421)</f>
        <v>9778000</v>
      </c>
      <c r="E422" s="41">
        <v>11917245</v>
      </c>
    </row>
    <row r="423" spans="1:5" ht="17.25" thickTop="1" thickBot="1" x14ac:dyDescent="0.3">
      <c r="A423" s="64"/>
      <c r="B423" s="15"/>
      <c r="C423" s="42"/>
      <c r="D423" s="42"/>
    </row>
    <row r="424" spans="1:5" ht="21" thickTop="1" thickBot="1" x14ac:dyDescent="0.45">
      <c r="A424" s="64"/>
      <c r="B424" s="29" t="s">
        <v>172</v>
      </c>
      <c r="D424" s="42"/>
    </row>
    <row r="425" spans="1:5" ht="16.5" thickTop="1" x14ac:dyDescent="0.25">
      <c r="A425" s="64"/>
      <c r="B425" s="4" t="s">
        <v>2</v>
      </c>
      <c r="C425" s="42"/>
      <c r="D425" s="42"/>
    </row>
    <row r="426" spans="1:5" ht="15.75" x14ac:dyDescent="0.25">
      <c r="A426" s="64" t="s">
        <v>127</v>
      </c>
      <c r="B426" s="7" t="s">
        <v>188</v>
      </c>
      <c r="C426" s="35">
        <v>7249324.96</v>
      </c>
      <c r="D426" s="35">
        <v>7240000</v>
      </c>
      <c r="E426" s="35">
        <v>6640000</v>
      </c>
    </row>
    <row r="427" spans="1:5" ht="15.75" x14ac:dyDescent="0.25">
      <c r="A427" s="64" t="s">
        <v>115</v>
      </c>
      <c r="B427" s="7" t="s">
        <v>123</v>
      </c>
      <c r="C427" s="43">
        <v>125374</v>
      </c>
      <c r="D427" s="43">
        <v>125000</v>
      </c>
      <c r="E427" s="35">
        <v>125000</v>
      </c>
    </row>
    <row r="428" spans="1:5" ht="15.75" x14ac:dyDescent="0.25">
      <c r="A428" s="67" t="s">
        <v>341</v>
      </c>
      <c r="B428" s="16" t="s">
        <v>3</v>
      </c>
      <c r="C428" s="35">
        <v>1908873.22</v>
      </c>
      <c r="D428" s="35">
        <v>2063440</v>
      </c>
      <c r="E428" s="35">
        <v>1817000</v>
      </c>
    </row>
    <row r="429" spans="1:5" ht="15.75" x14ac:dyDescent="0.25">
      <c r="A429" s="67" t="s">
        <v>398</v>
      </c>
      <c r="B429" s="16" t="s">
        <v>399</v>
      </c>
      <c r="C429" s="35">
        <v>52357.31</v>
      </c>
      <c r="D429" s="35">
        <v>71530</v>
      </c>
      <c r="E429" s="35">
        <v>37525</v>
      </c>
    </row>
    <row r="430" spans="1:5" ht="15.75" x14ac:dyDescent="0.25">
      <c r="A430" s="67" t="s">
        <v>271</v>
      </c>
      <c r="B430" s="7" t="s">
        <v>18</v>
      </c>
      <c r="C430" s="35">
        <v>2916.9</v>
      </c>
      <c r="D430" s="35">
        <v>2000</v>
      </c>
      <c r="E430" s="35">
        <v>3000</v>
      </c>
    </row>
    <row r="431" spans="1:5" ht="15.75" x14ac:dyDescent="0.25">
      <c r="A431" s="67" t="s">
        <v>284</v>
      </c>
      <c r="B431" s="7" t="s">
        <v>285</v>
      </c>
      <c r="C431" s="35">
        <v>20519.849999999999</v>
      </c>
      <c r="D431" s="35">
        <v>22376</v>
      </c>
      <c r="E431" s="35">
        <v>21000</v>
      </c>
    </row>
    <row r="432" spans="1:5" ht="15.75" x14ac:dyDescent="0.25">
      <c r="A432" s="67" t="s">
        <v>119</v>
      </c>
      <c r="B432" s="16" t="s">
        <v>120</v>
      </c>
      <c r="C432" s="43">
        <v>31839.82</v>
      </c>
      <c r="D432" s="43">
        <v>20000</v>
      </c>
      <c r="E432" s="35">
        <v>11000</v>
      </c>
    </row>
    <row r="433" spans="1:5" ht="15.75" x14ac:dyDescent="0.25">
      <c r="A433" s="67" t="s">
        <v>106</v>
      </c>
      <c r="B433" s="12" t="s">
        <v>121</v>
      </c>
      <c r="C433" s="43">
        <v>0</v>
      </c>
      <c r="D433" s="43">
        <v>0</v>
      </c>
      <c r="E433" s="35">
        <v>652174</v>
      </c>
    </row>
    <row r="434" spans="1:5" ht="16.5" thickBot="1" x14ac:dyDescent="0.3">
      <c r="A434" s="67" t="s">
        <v>228</v>
      </c>
      <c r="B434" s="7" t="s">
        <v>109</v>
      </c>
      <c r="C434" s="43">
        <v>0</v>
      </c>
      <c r="D434" s="43">
        <v>3191000</v>
      </c>
      <c r="E434" s="35">
        <v>1379342</v>
      </c>
    </row>
    <row r="435" spans="1:5" ht="17.25" thickTop="1" thickBot="1" x14ac:dyDescent="0.3">
      <c r="A435" s="64"/>
      <c r="B435" s="17" t="s">
        <v>6</v>
      </c>
      <c r="C435" s="44">
        <f>SUM(C426:C434)</f>
        <v>9391206.0600000005</v>
      </c>
      <c r="D435" s="44">
        <f>SUM(D426:D434)</f>
        <v>12735346</v>
      </c>
      <c r="E435" s="44">
        <v>10686041</v>
      </c>
    </row>
    <row r="436" spans="1:5" ht="16.5" thickTop="1" x14ac:dyDescent="0.25">
      <c r="A436" s="64"/>
      <c r="B436" s="15"/>
      <c r="C436" s="57"/>
      <c r="D436" s="46"/>
    </row>
    <row r="437" spans="1:5" ht="15.75" x14ac:dyDescent="0.25">
      <c r="A437" s="64"/>
      <c r="B437" s="4" t="s">
        <v>7</v>
      </c>
      <c r="C437" s="46"/>
      <c r="D437" s="46"/>
    </row>
    <row r="438" spans="1:5" ht="15.75" x14ac:dyDescent="0.25">
      <c r="A438" s="67" t="s">
        <v>29</v>
      </c>
      <c r="B438" s="8" t="s">
        <v>200</v>
      </c>
      <c r="C438" s="35">
        <v>401283.67</v>
      </c>
      <c r="D438" s="35">
        <v>424435</v>
      </c>
      <c r="E438" s="40">
        <v>377107</v>
      </c>
    </row>
    <row r="439" spans="1:5" ht="15.75" x14ac:dyDescent="0.25">
      <c r="A439" s="67"/>
      <c r="B439" s="59" t="s">
        <v>461</v>
      </c>
      <c r="C439" s="60">
        <v>181513.69</v>
      </c>
      <c r="D439" s="60">
        <v>200237</v>
      </c>
      <c r="E439" s="60">
        <v>225195</v>
      </c>
    </row>
    <row r="440" spans="1:5" ht="15.75" x14ac:dyDescent="0.25">
      <c r="A440" s="67"/>
      <c r="B440" s="59" t="s">
        <v>464</v>
      </c>
      <c r="C440" s="60">
        <v>84079.21</v>
      </c>
      <c r="D440" s="60">
        <f>17192+10557</f>
        <v>27749</v>
      </c>
      <c r="E440" s="60">
        <v>18232</v>
      </c>
    </row>
    <row r="441" spans="1:5" ht="15.75" x14ac:dyDescent="0.25">
      <c r="A441" s="67"/>
      <c r="B441" s="59" t="s">
        <v>462</v>
      </c>
      <c r="C441" s="60">
        <v>0</v>
      </c>
      <c r="D441" s="60">
        <v>0</v>
      </c>
      <c r="E441" s="60">
        <v>0</v>
      </c>
    </row>
    <row r="442" spans="1:5" ht="15.75" x14ac:dyDescent="0.25">
      <c r="A442" s="67"/>
      <c r="B442" s="59" t="s">
        <v>463</v>
      </c>
      <c r="C442" s="60">
        <f>C438-SUM(C439:C441)</f>
        <v>135690.76999999996</v>
      </c>
      <c r="D442" s="60">
        <f>D438-SUM(D439:D441)</f>
        <v>196449</v>
      </c>
      <c r="E442" s="60">
        <v>133680</v>
      </c>
    </row>
    <row r="443" spans="1:5" ht="15.75" x14ac:dyDescent="0.25">
      <c r="A443" s="67" t="s">
        <v>30</v>
      </c>
      <c r="B443" s="12" t="s">
        <v>31</v>
      </c>
      <c r="C443" s="54">
        <v>906454.75</v>
      </c>
      <c r="D443" s="54">
        <v>799935</v>
      </c>
      <c r="E443" s="40">
        <v>734990</v>
      </c>
    </row>
    <row r="444" spans="1:5" ht="15.75" x14ac:dyDescent="0.25">
      <c r="A444" s="67"/>
      <c r="B444" s="59" t="s">
        <v>461</v>
      </c>
      <c r="C444" s="60">
        <v>497743.99</v>
      </c>
      <c r="D444" s="60">
        <v>548262</v>
      </c>
      <c r="E444" s="60">
        <v>558047</v>
      </c>
    </row>
    <row r="445" spans="1:5" ht="15.75" x14ac:dyDescent="0.25">
      <c r="A445" s="67"/>
      <c r="B445" s="59" t="s">
        <v>464</v>
      </c>
      <c r="C445" s="60">
        <v>292146.65000000002</v>
      </c>
      <c r="D445" s="60">
        <f>76882+72122</f>
        <v>149004</v>
      </c>
      <c r="E445" s="60">
        <v>79787</v>
      </c>
    </row>
    <row r="446" spans="1:5" ht="15.75" x14ac:dyDescent="0.25">
      <c r="A446" s="67"/>
      <c r="B446" s="59" t="s">
        <v>462</v>
      </c>
      <c r="C446" s="60">
        <v>0</v>
      </c>
      <c r="D446" s="60">
        <v>0</v>
      </c>
      <c r="E446" s="60">
        <v>0</v>
      </c>
    </row>
    <row r="447" spans="1:5" ht="15.75" x14ac:dyDescent="0.25">
      <c r="A447" s="67"/>
      <c r="B447" s="59" t="s">
        <v>463</v>
      </c>
      <c r="C447" s="60">
        <f>C443-SUM(C444:C446)</f>
        <v>116564.10999999999</v>
      </c>
      <c r="D447" s="60">
        <f>D443-SUM(D444:D446)</f>
        <v>102669</v>
      </c>
      <c r="E447" s="60">
        <v>97156</v>
      </c>
    </row>
    <row r="448" spans="1:5" ht="15.75" x14ac:dyDescent="0.25">
      <c r="A448" s="67" t="s">
        <v>32</v>
      </c>
      <c r="B448" s="12" t="s">
        <v>33</v>
      </c>
      <c r="C448" s="54">
        <v>1908873.22</v>
      </c>
      <c r="D448" s="54">
        <v>1961445</v>
      </c>
      <c r="E448" s="40">
        <v>1947564</v>
      </c>
    </row>
    <row r="449" spans="1:5" ht="15.75" x14ac:dyDescent="0.25">
      <c r="A449" s="67"/>
      <c r="B449" s="59" t="s">
        <v>461</v>
      </c>
      <c r="C449" s="60">
        <v>1648189.93</v>
      </c>
      <c r="D449" s="60">
        <v>1716792</v>
      </c>
      <c r="E449" s="60">
        <v>1701807</v>
      </c>
    </row>
    <row r="450" spans="1:5" ht="15.75" x14ac:dyDescent="0.25">
      <c r="A450" s="67"/>
      <c r="B450" s="59" t="s">
        <v>464</v>
      </c>
      <c r="C450" s="60">
        <v>216177.17</v>
      </c>
      <c r="D450" s="60">
        <f>193957+2933</f>
        <v>196890</v>
      </c>
      <c r="E450" s="60">
        <v>200122</v>
      </c>
    </row>
    <row r="451" spans="1:5" ht="15.75" x14ac:dyDescent="0.25">
      <c r="A451" s="67"/>
      <c r="B451" s="59" t="s">
        <v>462</v>
      </c>
      <c r="C451" s="60">
        <v>0</v>
      </c>
      <c r="D451" s="60">
        <v>0</v>
      </c>
      <c r="E451" s="60">
        <v>0</v>
      </c>
    </row>
    <row r="452" spans="1:5" ht="15.75" x14ac:dyDescent="0.25">
      <c r="A452" s="67"/>
      <c r="B452" s="59" t="s">
        <v>463</v>
      </c>
      <c r="C452" s="60">
        <f>C448-SUM(C449:C451)</f>
        <v>44506.120000000112</v>
      </c>
      <c r="D452" s="60">
        <f>D448-SUM(D449:D451)</f>
        <v>47763</v>
      </c>
      <c r="E452" s="60">
        <v>45635</v>
      </c>
    </row>
    <row r="453" spans="1:5" ht="15.75" x14ac:dyDescent="0.25">
      <c r="A453" s="67" t="s">
        <v>35</v>
      </c>
      <c r="B453" s="12" t="s">
        <v>36</v>
      </c>
      <c r="C453" s="54">
        <v>3883659.98</v>
      </c>
      <c r="D453" s="54">
        <v>4304733</v>
      </c>
      <c r="E453" s="40">
        <v>4322616</v>
      </c>
    </row>
    <row r="454" spans="1:5" ht="15.75" x14ac:dyDescent="0.25">
      <c r="A454" s="67"/>
      <c r="B454" s="59" t="s">
        <v>461</v>
      </c>
      <c r="C454" s="60">
        <v>3246426.38</v>
      </c>
      <c r="D454" s="60">
        <v>3685069</v>
      </c>
      <c r="E454" s="60">
        <v>3636960</v>
      </c>
    </row>
    <row r="455" spans="1:5" ht="15.75" x14ac:dyDescent="0.25">
      <c r="A455" s="67"/>
      <c r="B455" s="59" t="s">
        <v>464</v>
      </c>
      <c r="C455" s="60">
        <v>378028.23</v>
      </c>
      <c r="D455" s="60">
        <f>214837+85693</f>
        <v>300530</v>
      </c>
      <c r="E455" s="60">
        <v>220436</v>
      </c>
    </row>
    <row r="456" spans="1:5" ht="15.75" x14ac:dyDescent="0.25">
      <c r="A456" s="67"/>
      <c r="B456" s="59" t="s">
        <v>462</v>
      </c>
      <c r="C456" s="60">
        <v>0</v>
      </c>
      <c r="D456" s="60">
        <v>0</v>
      </c>
      <c r="E456" s="60">
        <v>0</v>
      </c>
    </row>
    <row r="457" spans="1:5" ht="15.75" x14ac:dyDescent="0.25">
      <c r="A457" s="67"/>
      <c r="B457" s="59" t="s">
        <v>463</v>
      </c>
      <c r="C457" s="60">
        <f>C453-SUM(C454:C456)</f>
        <v>259205.37000000011</v>
      </c>
      <c r="D457" s="60">
        <f>D453-SUM(D454:D456)</f>
        <v>319134</v>
      </c>
      <c r="E457" s="60">
        <v>465220</v>
      </c>
    </row>
    <row r="458" spans="1:5" ht="15.75" x14ac:dyDescent="0.25">
      <c r="A458" s="67" t="s">
        <v>393</v>
      </c>
      <c r="B458" s="12" t="s">
        <v>394</v>
      </c>
      <c r="C458" s="54">
        <v>1998430.36</v>
      </c>
      <c r="D458" s="54">
        <v>3128058</v>
      </c>
      <c r="E458" s="35">
        <v>2803764</v>
      </c>
    </row>
    <row r="459" spans="1:5" ht="16.5" thickBot="1" x14ac:dyDescent="0.3">
      <c r="A459" s="64" t="s">
        <v>173</v>
      </c>
      <c r="B459" s="16" t="s">
        <v>235</v>
      </c>
      <c r="C459" s="43">
        <f>C435-9098701.98</f>
        <v>292504.08000000007</v>
      </c>
      <c r="D459" s="43">
        <v>2116740</v>
      </c>
      <c r="E459" s="35">
        <v>500000</v>
      </c>
    </row>
    <row r="460" spans="1:5" ht="17.25" thickTop="1" thickBot="1" x14ac:dyDescent="0.3">
      <c r="A460" s="64"/>
      <c r="B460" s="17" t="s">
        <v>51</v>
      </c>
      <c r="C460" s="44">
        <f>C438+C443+C448+C453+C458+C459</f>
        <v>9391206.0599999987</v>
      </c>
      <c r="D460" s="44">
        <f>D438+D443+D448+D453+D458+D459</f>
        <v>12735346</v>
      </c>
      <c r="E460" s="44">
        <v>10686041</v>
      </c>
    </row>
    <row r="461" spans="1:5" ht="17.25" thickTop="1" thickBot="1" x14ac:dyDescent="0.3">
      <c r="A461" s="64"/>
      <c r="B461" s="15"/>
      <c r="C461" s="42"/>
      <c r="D461" s="42"/>
    </row>
    <row r="462" spans="1:5" ht="21" thickTop="1" thickBot="1" x14ac:dyDescent="0.45">
      <c r="A462" s="64"/>
      <c r="B462" s="29" t="s">
        <v>175</v>
      </c>
      <c r="C462" s="42"/>
      <c r="D462" s="42"/>
    </row>
    <row r="463" spans="1:5" ht="16.5" thickTop="1" x14ac:dyDescent="0.25">
      <c r="A463" s="64"/>
      <c r="B463" s="4" t="s">
        <v>2</v>
      </c>
      <c r="C463" s="42"/>
      <c r="D463" s="42"/>
    </row>
    <row r="464" spans="1:5" ht="15.75" x14ac:dyDescent="0.25">
      <c r="A464" s="64" t="s">
        <v>127</v>
      </c>
      <c r="B464" s="7" t="s">
        <v>128</v>
      </c>
      <c r="C464" s="43">
        <v>106219.62</v>
      </c>
      <c r="D464" s="43">
        <v>20000</v>
      </c>
      <c r="E464" s="35">
        <v>50000</v>
      </c>
    </row>
    <row r="465" spans="1:5" ht="15.75" x14ac:dyDescent="0.25">
      <c r="A465" s="64" t="s">
        <v>115</v>
      </c>
      <c r="B465" s="7" t="s">
        <v>123</v>
      </c>
      <c r="C465" s="43">
        <v>0</v>
      </c>
      <c r="D465" s="43">
        <v>0</v>
      </c>
      <c r="E465" s="35">
        <v>0</v>
      </c>
    </row>
    <row r="466" spans="1:5" ht="15.75" x14ac:dyDescent="0.25">
      <c r="A466" s="64" t="s">
        <v>119</v>
      </c>
      <c r="B466" s="7" t="s">
        <v>120</v>
      </c>
      <c r="C466" s="43">
        <v>114.63</v>
      </c>
      <c r="D466" s="43">
        <v>0</v>
      </c>
      <c r="E466" s="35">
        <v>0</v>
      </c>
    </row>
    <row r="467" spans="1:5" ht="16.5" thickBot="1" x14ac:dyDescent="0.3">
      <c r="A467" s="67" t="s">
        <v>228</v>
      </c>
      <c r="B467" s="7" t="s">
        <v>109</v>
      </c>
      <c r="C467" s="43">
        <f>1708242.65-C464-C466</f>
        <v>1601908.4</v>
      </c>
      <c r="D467" s="43">
        <v>0</v>
      </c>
      <c r="E467" s="35">
        <v>0</v>
      </c>
    </row>
    <row r="468" spans="1:5" ht="17.25" thickTop="1" thickBot="1" x14ac:dyDescent="0.3">
      <c r="A468" s="64"/>
      <c r="B468" s="17" t="s">
        <v>6</v>
      </c>
      <c r="C468" s="41">
        <f>SUM(C464:C467)</f>
        <v>1708242.65</v>
      </c>
      <c r="D468" s="41">
        <f>SUM(D464:D467)</f>
        <v>20000</v>
      </c>
      <c r="E468" s="41">
        <v>50000</v>
      </c>
    </row>
    <row r="469" spans="1:5" ht="16.5" thickTop="1" x14ac:dyDescent="0.25">
      <c r="A469" s="64"/>
      <c r="B469" s="10"/>
      <c r="C469" s="42"/>
      <c r="D469" s="42"/>
    </row>
    <row r="470" spans="1:5" ht="15.75" x14ac:dyDescent="0.25">
      <c r="A470" s="64"/>
      <c r="B470" s="4" t="s">
        <v>7</v>
      </c>
      <c r="C470" s="42"/>
      <c r="D470" s="42"/>
    </row>
    <row r="471" spans="1:5" ht="15.75" x14ac:dyDescent="0.25">
      <c r="A471" s="67" t="s">
        <v>435</v>
      </c>
      <c r="B471" s="7" t="s">
        <v>442</v>
      </c>
      <c r="C471" s="40">
        <v>1680000</v>
      </c>
      <c r="D471" s="40">
        <v>0</v>
      </c>
      <c r="E471" s="35">
        <v>0</v>
      </c>
    </row>
    <row r="472" spans="1:5" ht="15.75" x14ac:dyDescent="0.25">
      <c r="A472" s="67" t="s">
        <v>436</v>
      </c>
      <c r="B472" s="7" t="s">
        <v>443</v>
      </c>
      <c r="C472" s="40">
        <v>25197.200000000001</v>
      </c>
      <c r="D472" s="40">
        <v>0</v>
      </c>
      <c r="E472" s="35">
        <v>0</v>
      </c>
    </row>
    <row r="473" spans="1:5" ht="15.75" x14ac:dyDescent="0.25">
      <c r="A473" s="67" t="s">
        <v>79</v>
      </c>
      <c r="B473" s="7" t="s">
        <v>437</v>
      </c>
      <c r="C473" s="40">
        <v>3045.45</v>
      </c>
      <c r="D473" s="40">
        <v>0</v>
      </c>
      <c r="E473" s="35">
        <v>0</v>
      </c>
    </row>
    <row r="474" spans="1:5" ht="15.75" x14ac:dyDescent="0.25">
      <c r="A474" s="67" t="s">
        <v>475</v>
      </c>
      <c r="B474" s="65" t="s">
        <v>476</v>
      </c>
      <c r="C474" s="40">
        <v>0</v>
      </c>
      <c r="D474" s="40">
        <v>20000</v>
      </c>
      <c r="E474" s="35">
        <v>50000</v>
      </c>
    </row>
    <row r="475" spans="1:5" ht="16.5" thickBot="1" x14ac:dyDescent="0.3">
      <c r="A475" s="64" t="s">
        <v>280</v>
      </c>
      <c r="B475" s="7" t="s">
        <v>235</v>
      </c>
      <c r="C475" s="40">
        <v>0</v>
      </c>
      <c r="D475" s="40">
        <v>0</v>
      </c>
      <c r="E475" s="35">
        <v>0</v>
      </c>
    </row>
    <row r="476" spans="1:5" ht="17.25" thickTop="1" thickBot="1" x14ac:dyDescent="0.3">
      <c r="A476" s="67"/>
      <c r="B476" s="17" t="s">
        <v>51</v>
      </c>
      <c r="C476" s="50">
        <f>SUM(C471:C475)</f>
        <v>1708242.65</v>
      </c>
      <c r="D476" s="50">
        <f>SUM(D471:D475)</f>
        <v>20000</v>
      </c>
      <c r="E476" s="50">
        <v>50000</v>
      </c>
    </row>
    <row r="477" spans="1:5" ht="17.25" thickTop="1" thickBot="1" x14ac:dyDescent="0.3">
      <c r="A477" s="67"/>
      <c r="B477" s="15"/>
      <c r="C477" s="42"/>
      <c r="D477" s="42"/>
    </row>
    <row r="478" spans="1:5" ht="21" thickTop="1" thickBot="1" x14ac:dyDescent="0.45">
      <c r="A478" s="64"/>
      <c r="B478" s="29" t="s">
        <v>176</v>
      </c>
      <c r="C478" s="42"/>
      <c r="D478" s="42"/>
    </row>
    <row r="479" spans="1:5" ht="16.5" thickTop="1" x14ac:dyDescent="0.25">
      <c r="A479" s="64"/>
      <c r="B479" s="4" t="s">
        <v>2</v>
      </c>
      <c r="C479" s="42"/>
      <c r="D479" s="42"/>
    </row>
    <row r="480" spans="1:5" ht="15.75" x14ac:dyDescent="0.25">
      <c r="A480" s="64" t="s">
        <v>115</v>
      </c>
      <c r="B480" s="7" t="s">
        <v>123</v>
      </c>
      <c r="C480" s="43">
        <v>3210454.85</v>
      </c>
      <c r="D480" s="43">
        <v>3475324</v>
      </c>
      <c r="E480" s="35">
        <v>3469174</v>
      </c>
    </row>
    <row r="481" spans="1:5" ht="15.75" x14ac:dyDescent="0.25">
      <c r="A481" s="64" t="s">
        <v>119</v>
      </c>
      <c r="B481" s="16" t="s">
        <v>120</v>
      </c>
      <c r="C481" s="43">
        <v>0</v>
      </c>
      <c r="D481" s="43">
        <v>0</v>
      </c>
      <c r="E481" s="35">
        <v>0</v>
      </c>
    </row>
    <row r="482" spans="1:5" ht="15.75" x14ac:dyDescent="0.25">
      <c r="A482" s="67" t="s">
        <v>106</v>
      </c>
      <c r="B482" s="16" t="s">
        <v>121</v>
      </c>
      <c r="C482" s="43">
        <v>2033534.56</v>
      </c>
      <c r="D482" s="43">
        <v>2189321</v>
      </c>
      <c r="E482" s="35">
        <v>2125100</v>
      </c>
    </row>
    <row r="483" spans="1:5" ht="15.75" x14ac:dyDescent="0.25">
      <c r="A483" s="67" t="s">
        <v>106</v>
      </c>
      <c r="B483" s="16" t="s">
        <v>254</v>
      </c>
      <c r="C483" s="43">
        <f>8040097.31+2834252.62</f>
        <v>10874349.93</v>
      </c>
      <c r="D483" s="43">
        <f>6213454+1671266+2834500</f>
        <v>10719220</v>
      </c>
      <c r="E483" s="35">
        <v>14709332</v>
      </c>
    </row>
    <row r="484" spans="1:5" ht="15.75" x14ac:dyDescent="0.25">
      <c r="A484" s="67" t="s">
        <v>106</v>
      </c>
      <c r="B484" s="16" t="s">
        <v>306</v>
      </c>
      <c r="C484" s="43">
        <v>1167456.03</v>
      </c>
      <c r="D484" s="43">
        <v>1036380</v>
      </c>
      <c r="E484" s="35">
        <v>891312</v>
      </c>
    </row>
    <row r="485" spans="1:5" ht="15.75" x14ac:dyDescent="0.25">
      <c r="A485" s="67" t="s">
        <v>106</v>
      </c>
      <c r="B485" s="16" t="s">
        <v>279</v>
      </c>
      <c r="C485" s="43">
        <f>1113835.64+136678.96</f>
        <v>1250514.5999999999</v>
      </c>
      <c r="D485" s="43">
        <f>1167933+284776</f>
        <v>1452709</v>
      </c>
      <c r="E485" s="35">
        <v>1639989</v>
      </c>
    </row>
    <row r="486" spans="1:5" ht="15.75" x14ac:dyDescent="0.25">
      <c r="A486" s="67" t="s">
        <v>106</v>
      </c>
      <c r="B486" s="63" t="s">
        <v>477</v>
      </c>
      <c r="C486" s="43">
        <v>0</v>
      </c>
      <c r="D486" s="43">
        <v>20000</v>
      </c>
      <c r="E486" s="35">
        <v>50000</v>
      </c>
    </row>
    <row r="487" spans="1:5" ht="15.75" x14ac:dyDescent="0.25">
      <c r="A487" s="67" t="s">
        <v>106</v>
      </c>
      <c r="B487" s="16" t="s">
        <v>122</v>
      </c>
      <c r="C487" s="43">
        <v>2579866.27</v>
      </c>
      <c r="D487" s="43">
        <f>2321250+265265</f>
        <v>2586515</v>
      </c>
      <c r="E487" s="35">
        <v>2595714</v>
      </c>
    </row>
    <row r="488" spans="1:5" ht="16.5" thickBot="1" x14ac:dyDescent="0.3">
      <c r="A488" s="67" t="s">
        <v>228</v>
      </c>
      <c r="B488" s="7" t="s">
        <v>109</v>
      </c>
      <c r="C488" s="43">
        <v>0</v>
      </c>
      <c r="D488" s="43">
        <v>100000</v>
      </c>
      <c r="E488" s="35">
        <v>100000</v>
      </c>
    </row>
    <row r="489" spans="1:5" ht="17.25" thickTop="1" thickBot="1" x14ac:dyDescent="0.3">
      <c r="A489" s="64"/>
      <c r="B489" s="17" t="s">
        <v>6</v>
      </c>
      <c r="C489" s="41">
        <f>SUM(C480:C488)</f>
        <v>21116176.240000002</v>
      </c>
      <c r="D489" s="41">
        <f>SUM(D480:D488)</f>
        <v>21579469</v>
      </c>
      <c r="E489" s="41">
        <v>25580621</v>
      </c>
    </row>
    <row r="490" spans="1:5" ht="16.5" thickTop="1" x14ac:dyDescent="0.25">
      <c r="A490" s="64"/>
      <c r="B490" s="10"/>
      <c r="C490" s="46"/>
      <c r="D490" s="46"/>
    </row>
    <row r="491" spans="1:5" ht="15.75" x14ac:dyDescent="0.25">
      <c r="A491" s="64"/>
      <c r="B491" s="4" t="s">
        <v>7</v>
      </c>
      <c r="C491" s="46"/>
      <c r="D491" s="46"/>
    </row>
    <row r="492" spans="1:5" ht="15.75" x14ac:dyDescent="0.25">
      <c r="A492" s="67" t="s">
        <v>454</v>
      </c>
      <c r="B492" s="7" t="s">
        <v>455</v>
      </c>
      <c r="C492" s="40">
        <v>0</v>
      </c>
      <c r="D492" s="40">
        <v>13000</v>
      </c>
      <c r="E492" s="35">
        <v>14250</v>
      </c>
    </row>
    <row r="493" spans="1:5" ht="15.75" x14ac:dyDescent="0.25">
      <c r="A493" s="67" t="s">
        <v>438</v>
      </c>
      <c r="B493" s="7" t="s">
        <v>440</v>
      </c>
      <c r="C493" s="40">
        <v>8185833.4000000004</v>
      </c>
      <c r="D493" s="40">
        <v>8673334</v>
      </c>
      <c r="E493" s="35">
        <v>9115000</v>
      </c>
    </row>
    <row r="494" spans="1:5" ht="15.75" x14ac:dyDescent="0.25">
      <c r="A494" s="67" t="s">
        <v>439</v>
      </c>
      <c r="B494" s="7" t="s">
        <v>441</v>
      </c>
      <c r="C494" s="40">
        <v>12904388.289999999</v>
      </c>
      <c r="D494" s="40">
        <v>12748817</v>
      </c>
      <c r="E494" s="35">
        <v>12243371</v>
      </c>
    </row>
    <row r="495" spans="1:5" ht="15.75" x14ac:dyDescent="0.25">
      <c r="A495" s="67" t="s">
        <v>177</v>
      </c>
      <c r="B495" s="7" t="s">
        <v>437</v>
      </c>
      <c r="C495" s="40">
        <v>25954.55</v>
      </c>
      <c r="D495" s="40">
        <v>107000</v>
      </c>
      <c r="E495" s="35">
        <v>108000</v>
      </c>
    </row>
    <row r="496" spans="1:5" ht="16.5" thickBot="1" x14ac:dyDescent="0.3">
      <c r="A496" s="64" t="s">
        <v>281</v>
      </c>
      <c r="B496" s="7" t="s">
        <v>235</v>
      </c>
      <c r="C496" s="40">
        <v>0</v>
      </c>
      <c r="D496" s="40">
        <v>37318</v>
      </c>
      <c r="E496" s="35">
        <v>4100000</v>
      </c>
    </row>
    <row r="497" spans="1:5" ht="17.25" thickTop="1" thickBot="1" x14ac:dyDescent="0.3">
      <c r="A497" s="67"/>
      <c r="B497" s="17" t="s">
        <v>51</v>
      </c>
      <c r="C497" s="51">
        <f>SUM(C492:C496)</f>
        <v>21116176.239999998</v>
      </c>
      <c r="D497" s="51">
        <f>SUM(D492:D496)</f>
        <v>21579469</v>
      </c>
      <c r="E497" s="51">
        <v>25580621</v>
      </c>
    </row>
    <row r="498" spans="1:5" ht="17.25" thickTop="1" thickBot="1" x14ac:dyDescent="0.3">
      <c r="A498" s="64"/>
      <c r="B498" s="15"/>
      <c r="C498" s="42"/>
      <c r="D498" s="42"/>
    </row>
    <row r="499" spans="1:5" ht="21" thickTop="1" thickBot="1" x14ac:dyDescent="0.45">
      <c r="A499" s="64"/>
      <c r="B499" s="29" t="s">
        <v>80</v>
      </c>
      <c r="D499" s="42"/>
    </row>
    <row r="500" spans="1:5" ht="16.5" thickTop="1" x14ac:dyDescent="0.25">
      <c r="A500" s="64"/>
      <c r="B500" s="4" t="s">
        <v>2</v>
      </c>
      <c r="C500" s="42"/>
      <c r="D500" s="42"/>
    </row>
    <row r="501" spans="1:5" ht="15.75" x14ac:dyDescent="0.25">
      <c r="A501" s="64" t="s">
        <v>115</v>
      </c>
      <c r="B501" s="16" t="s">
        <v>123</v>
      </c>
      <c r="C501" s="43">
        <v>0</v>
      </c>
      <c r="D501" s="43">
        <v>0</v>
      </c>
      <c r="E501" s="35">
        <v>0</v>
      </c>
    </row>
    <row r="502" spans="1:5" ht="15.75" x14ac:dyDescent="0.25">
      <c r="A502" s="64" t="s">
        <v>119</v>
      </c>
      <c r="B502" s="16" t="s">
        <v>120</v>
      </c>
      <c r="C502" s="43">
        <v>61611.58</v>
      </c>
      <c r="D502" s="43">
        <v>21652</v>
      </c>
      <c r="E502" s="35">
        <v>38000</v>
      </c>
    </row>
    <row r="503" spans="1:5" ht="15.75" x14ac:dyDescent="0.25">
      <c r="A503" s="67" t="s">
        <v>106</v>
      </c>
      <c r="B503" s="16" t="s">
        <v>121</v>
      </c>
      <c r="C503" s="43">
        <v>0</v>
      </c>
      <c r="D503" s="43">
        <v>0</v>
      </c>
      <c r="E503" s="35">
        <v>0</v>
      </c>
    </row>
    <row r="504" spans="1:5" ht="15.75" x14ac:dyDescent="0.25">
      <c r="A504" s="67" t="s">
        <v>106</v>
      </c>
      <c r="B504" s="16" t="s">
        <v>457</v>
      </c>
      <c r="C504" s="43">
        <v>50357.5</v>
      </c>
      <c r="D504" s="43">
        <v>127627</v>
      </c>
      <c r="E504" s="35">
        <v>0</v>
      </c>
    </row>
    <row r="505" spans="1:5" ht="15.75" x14ac:dyDescent="0.25">
      <c r="A505" s="67" t="s">
        <v>106</v>
      </c>
      <c r="B505" s="16" t="s">
        <v>413</v>
      </c>
      <c r="C505" s="43">
        <v>180280.69</v>
      </c>
      <c r="D505" s="43">
        <v>161369</v>
      </c>
      <c r="E505" s="35">
        <v>0</v>
      </c>
    </row>
    <row r="506" spans="1:5" ht="15.75" x14ac:dyDescent="0.25">
      <c r="A506" s="67" t="s">
        <v>106</v>
      </c>
      <c r="B506" s="16" t="s">
        <v>414</v>
      </c>
      <c r="C506" s="43">
        <v>48655.87</v>
      </c>
      <c r="D506" s="43">
        <v>1600000</v>
      </c>
      <c r="E506" s="35">
        <v>1600000</v>
      </c>
    </row>
    <row r="507" spans="1:5" ht="15.75" x14ac:dyDescent="0.25">
      <c r="A507" s="67" t="s">
        <v>106</v>
      </c>
      <c r="B507" s="12" t="s">
        <v>417</v>
      </c>
      <c r="C507" s="43">
        <v>0</v>
      </c>
      <c r="D507" s="43">
        <v>50000</v>
      </c>
      <c r="E507" s="35">
        <v>0</v>
      </c>
    </row>
    <row r="508" spans="1:5" ht="15.75" x14ac:dyDescent="0.25">
      <c r="A508" s="67" t="s">
        <v>106</v>
      </c>
      <c r="B508" s="12" t="s">
        <v>444</v>
      </c>
      <c r="C508" s="43">
        <v>0</v>
      </c>
      <c r="D508" s="43">
        <v>0</v>
      </c>
      <c r="E508" s="35">
        <v>0</v>
      </c>
    </row>
    <row r="509" spans="1:5" ht="15.75" x14ac:dyDescent="0.25">
      <c r="A509" s="67" t="s">
        <v>255</v>
      </c>
      <c r="B509" s="12" t="s">
        <v>191</v>
      </c>
      <c r="C509" s="43">
        <v>0</v>
      </c>
      <c r="D509" s="43">
        <v>0</v>
      </c>
      <c r="E509" s="35">
        <v>0</v>
      </c>
    </row>
    <row r="510" spans="1:5" ht="16.5" thickBot="1" x14ac:dyDescent="0.3">
      <c r="A510" s="67" t="s">
        <v>228</v>
      </c>
      <c r="B510" s="7" t="s">
        <v>109</v>
      </c>
      <c r="C510" s="43">
        <f>C527-340905.64</f>
        <v>618064.24000000011</v>
      </c>
      <c r="D510" s="43">
        <v>8049371</v>
      </c>
      <c r="E510" s="35">
        <v>8154328</v>
      </c>
    </row>
    <row r="511" spans="1:5" ht="17.25" thickTop="1" thickBot="1" x14ac:dyDescent="0.3">
      <c r="A511" s="64"/>
      <c r="B511" s="17" t="s">
        <v>6</v>
      </c>
      <c r="C511" s="41">
        <f>SUM(C501:C510)</f>
        <v>958969.88000000012</v>
      </c>
      <c r="D511" s="41">
        <f>SUM(D501:D510)</f>
        <v>10010019</v>
      </c>
      <c r="E511" s="41">
        <v>9792328</v>
      </c>
    </row>
    <row r="512" spans="1:5" ht="16.5" thickTop="1" x14ac:dyDescent="0.25">
      <c r="A512" s="64"/>
      <c r="B512" s="10"/>
      <c r="C512" s="42"/>
      <c r="D512" s="42"/>
    </row>
    <row r="513" spans="1:5" ht="15.75" x14ac:dyDescent="0.25">
      <c r="A513" s="64"/>
      <c r="B513" s="4" t="s">
        <v>7</v>
      </c>
      <c r="C513" s="42"/>
      <c r="D513" s="42"/>
    </row>
    <row r="514" spans="1:5" ht="15.75" x14ac:dyDescent="0.25">
      <c r="A514" s="64" t="s">
        <v>131</v>
      </c>
      <c r="B514" s="7" t="s">
        <v>132</v>
      </c>
      <c r="C514" s="43">
        <v>13306.07</v>
      </c>
      <c r="D514" s="43">
        <v>362800</v>
      </c>
      <c r="E514" s="35">
        <v>0</v>
      </c>
    </row>
    <row r="515" spans="1:5" ht="15.75" x14ac:dyDescent="0.25">
      <c r="A515" s="64" t="s">
        <v>133</v>
      </c>
      <c r="B515" s="7" t="s">
        <v>134</v>
      </c>
      <c r="C515" s="43">
        <v>0</v>
      </c>
      <c r="D515" s="43">
        <v>0</v>
      </c>
      <c r="E515" s="35">
        <v>0</v>
      </c>
    </row>
    <row r="516" spans="1:5" ht="15.75" x14ac:dyDescent="0.25">
      <c r="A516" s="64" t="s">
        <v>135</v>
      </c>
      <c r="B516" s="7" t="s">
        <v>136</v>
      </c>
      <c r="C516" s="43">
        <v>23823.01</v>
      </c>
      <c r="D516" s="43">
        <v>0</v>
      </c>
      <c r="E516" s="35">
        <v>0</v>
      </c>
    </row>
    <row r="517" spans="1:5" ht="15.75" x14ac:dyDescent="0.25">
      <c r="A517" s="64" t="s">
        <v>135</v>
      </c>
      <c r="B517" s="7" t="s">
        <v>448</v>
      </c>
      <c r="C517" s="43">
        <v>50357.5</v>
      </c>
      <c r="D517" s="43">
        <f>127627+3200000</f>
        <v>3327627</v>
      </c>
      <c r="E517" s="35">
        <v>3200000</v>
      </c>
    </row>
    <row r="518" spans="1:5" ht="15.75" x14ac:dyDescent="0.25">
      <c r="A518" s="64" t="s">
        <v>137</v>
      </c>
      <c r="B518" s="7" t="s">
        <v>138</v>
      </c>
      <c r="C518" s="43">
        <v>98655.87</v>
      </c>
      <c r="D518" s="43">
        <v>1600000</v>
      </c>
      <c r="E518" s="35">
        <v>1600000</v>
      </c>
    </row>
    <row r="519" spans="1:5" ht="15.75" x14ac:dyDescent="0.25">
      <c r="A519" s="64" t="s">
        <v>139</v>
      </c>
      <c r="B519" s="16" t="s">
        <v>446</v>
      </c>
      <c r="C519" s="43">
        <v>93787.22</v>
      </c>
      <c r="D519" s="43">
        <v>0</v>
      </c>
      <c r="E519" s="35">
        <v>0</v>
      </c>
    </row>
    <row r="520" spans="1:5" ht="15.75" x14ac:dyDescent="0.25">
      <c r="A520" s="64" t="s">
        <v>139</v>
      </c>
      <c r="B520" s="16" t="s">
        <v>447</v>
      </c>
      <c r="C520" s="43">
        <v>40928</v>
      </c>
      <c r="D520" s="43">
        <v>0</v>
      </c>
      <c r="E520" s="35">
        <v>0</v>
      </c>
    </row>
    <row r="521" spans="1:5" ht="15.75" x14ac:dyDescent="0.25">
      <c r="A521" s="64" t="s">
        <v>140</v>
      </c>
      <c r="B521" s="16" t="s">
        <v>445</v>
      </c>
      <c r="C521" s="43">
        <f>452379.12+5452.4</f>
        <v>457831.52</v>
      </c>
      <c r="D521" s="43">
        <v>0</v>
      </c>
      <c r="E521" s="35">
        <v>0</v>
      </c>
    </row>
    <row r="522" spans="1:5" ht="15.75" x14ac:dyDescent="0.25">
      <c r="A522" s="64" t="s">
        <v>140</v>
      </c>
      <c r="B522" s="63" t="s">
        <v>506</v>
      </c>
      <c r="C522" s="43">
        <v>0</v>
      </c>
      <c r="D522" s="43">
        <v>6750</v>
      </c>
      <c r="E522" s="35">
        <v>0</v>
      </c>
    </row>
    <row r="523" spans="1:5" ht="15.75" x14ac:dyDescent="0.25">
      <c r="A523" s="64" t="s">
        <v>308</v>
      </c>
      <c r="B523" s="16" t="s">
        <v>307</v>
      </c>
      <c r="C523" s="43">
        <v>180280.69</v>
      </c>
      <c r="D523" s="43">
        <f>21652+161369</f>
        <v>183021</v>
      </c>
      <c r="E523" s="35">
        <v>0</v>
      </c>
    </row>
    <row r="524" spans="1:5" ht="15.75" x14ac:dyDescent="0.25">
      <c r="A524" s="64" t="s">
        <v>309</v>
      </c>
      <c r="B524" s="16" t="s">
        <v>310</v>
      </c>
      <c r="C524" s="43">
        <v>0</v>
      </c>
      <c r="D524" s="43">
        <v>218639</v>
      </c>
      <c r="E524" s="35">
        <v>218639</v>
      </c>
    </row>
    <row r="525" spans="1:5" ht="15.75" x14ac:dyDescent="0.25">
      <c r="A525" s="64" t="s">
        <v>383</v>
      </c>
      <c r="B525" s="63" t="s">
        <v>507</v>
      </c>
      <c r="C525" s="43">
        <v>0</v>
      </c>
      <c r="D525" s="43">
        <v>1181300</v>
      </c>
      <c r="E525" s="35">
        <v>0</v>
      </c>
    </row>
    <row r="526" spans="1:5" ht="16.5" thickBot="1" x14ac:dyDescent="0.3">
      <c r="A526" s="64" t="s">
        <v>405</v>
      </c>
      <c r="B526" s="16" t="s">
        <v>235</v>
      </c>
      <c r="C526" s="43">
        <v>0</v>
      </c>
      <c r="D526" s="43">
        <v>3129882</v>
      </c>
      <c r="E526" s="35">
        <v>4773689</v>
      </c>
    </row>
    <row r="527" spans="1:5" ht="17.25" thickTop="1" thickBot="1" x14ac:dyDescent="0.3">
      <c r="A527" s="64"/>
      <c r="B527" s="17" t="s">
        <v>51</v>
      </c>
      <c r="C527" s="41">
        <f>SUM(C514:C526)</f>
        <v>958969.88000000012</v>
      </c>
      <c r="D527" s="41">
        <f>SUM(D514:D526)</f>
        <v>10010019</v>
      </c>
      <c r="E527" s="41">
        <v>9792328</v>
      </c>
    </row>
    <row r="528" spans="1:5" ht="17.25" thickTop="1" thickBot="1" x14ac:dyDescent="0.3">
      <c r="A528" s="64"/>
      <c r="B528" s="10"/>
    </row>
    <row r="529" spans="1:5" ht="21" thickTop="1" thickBot="1" x14ac:dyDescent="0.45">
      <c r="A529" s="64"/>
      <c r="B529" s="29" t="s">
        <v>88</v>
      </c>
    </row>
    <row r="530" spans="1:5" ht="16.5" thickTop="1" x14ac:dyDescent="0.25">
      <c r="A530" s="64"/>
      <c r="B530" s="4" t="s">
        <v>81</v>
      </c>
    </row>
    <row r="531" spans="1:5" ht="15.75" x14ac:dyDescent="0.25">
      <c r="A531" s="64" t="s">
        <v>115</v>
      </c>
      <c r="B531" s="7" t="s">
        <v>123</v>
      </c>
      <c r="C531" s="43">
        <v>18350</v>
      </c>
      <c r="D531" s="43">
        <v>0</v>
      </c>
      <c r="E531" s="35">
        <v>0</v>
      </c>
    </row>
    <row r="532" spans="1:5" ht="15.75" x14ac:dyDescent="0.25">
      <c r="A532" s="64" t="s">
        <v>117</v>
      </c>
      <c r="B532" s="16" t="s">
        <v>118</v>
      </c>
      <c r="C532" s="43">
        <v>90063.3</v>
      </c>
      <c r="D532" s="43">
        <v>100000</v>
      </c>
      <c r="E532" s="35">
        <v>200000</v>
      </c>
    </row>
    <row r="533" spans="1:5" ht="15.75" x14ac:dyDescent="0.25">
      <c r="A533" s="64" t="s">
        <v>119</v>
      </c>
      <c r="B533" s="16" t="s">
        <v>120</v>
      </c>
      <c r="C533" s="43">
        <f>22633.87-1626.4</f>
        <v>21007.469999999998</v>
      </c>
      <c r="D533" s="43">
        <v>7500</v>
      </c>
      <c r="E533" s="35">
        <v>36418</v>
      </c>
    </row>
    <row r="534" spans="1:5" ht="16.5" thickBot="1" x14ac:dyDescent="0.3">
      <c r="A534" s="64" t="s">
        <v>141</v>
      </c>
      <c r="B534" s="16" t="s">
        <v>142</v>
      </c>
      <c r="C534" s="43">
        <v>3756694.15</v>
      </c>
      <c r="D534" s="43">
        <v>4953890</v>
      </c>
      <c r="E534" s="35">
        <v>5590412</v>
      </c>
    </row>
    <row r="535" spans="1:5" ht="17.25" thickTop="1" thickBot="1" x14ac:dyDescent="0.3">
      <c r="A535" s="64"/>
      <c r="B535" s="17" t="s">
        <v>89</v>
      </c>
      <c r="C535" s="41">
        <f>SUM(C531:C534)</f>
        <v>3886114.92</v>
      </c>
      <c r="D535" s="41">
        <f>SUM(D531:D534)</f>
        <v>5061390</v>
      </c>
      <c r="E535" s="41">
        <v>5826830</v>
      </c>
    </row>
    <row r="536" spans="1:5" ht="16.5" thickTop="1" x14ac:dyDescent="0.25">
      <c r="A536" s="64"/>
      <c r="B536" s="10"/>
    </row>
    <row r="537" spans="1:5" ht="15.75" x14ac:dyDescent="0.25">
      <c r="A537" s="64"/>
      <c r="B537" s="4" t="s">
        <v>84</v>
      </c>
    </row>
    <row r="538" spans="1:5" ht="15.75" x14ac:dyDescent="0.25">
      <c r="A538" s="64" t="s">
        <v>180</v>
      </c>
      <c r="B538" s="14" t="s">
        <v>82</v>
      </c>
      <c r="C538" s="43">
        <v>843963.11</v>
      </c>
      <c r="D538" s="43">
        <v>880722</v>
      </c>
      <c r="E538" s="35">
        <v>901987</v>
      </c>
    </row>
    <row r="539" spans="1:5" ht="15.75" x14ac:dyDescent="0.25">
      <c r="A539" s="67" t="s">
        <v>205</v>
      </c>
      <c r="B539" s="14" t="s">
        <v>90</v>
      </c>
      <c r="C539" s="43">
        <f>4044839.16-C538-C540-C542</f>
        <v>1715338.3700000006</v>
      </c>
      <c r="D539" s="43">
        <f>5839448-D538-D540-D541-D542</f>
        <v>1658158</v>
      </c>
      <c r="E539" s="35">
        <v>1961703</v>
      </c>
    </row>
    <row r="540" spans="1:5" ht="15.75" x14ac:dyDescent="0.25">
      <c r="A540" s="64" t="s">
        <v>206</v>
      </c>
      <c r="B540" s="22" t="s">
        <v>102</v>
      </c>
      <c r="C540" s="43">
        <f>3926.96+14798.8</f>
        <v>18725.759999999998</v>
      </c>
      <c r="D540" s="43">
        <f>743708+1128870</f>
        <v>1872578</v>
      </c>
      <c r="E540" s="35">
        <v>1676820</v>
      </c>
    </row>
    <row r="541" spans="1:5" ht="15.75" x14ac:dyDescent="0.25">
      <c r="A541" s="64" t="s">
        <v>222</v>
      </c>
      <c r="B541" s="22" t="s">
        <v>235</v>
      </c>
      <c r="C541" s="43">
        <v>0</v>
      </c>
      <c r="D541" s="43">
        <v>158727</v>
      </c>
      <c r="E541" s="35">
        <v>1397249</v>
      </c>
    </row>
    <row r="542" spans="1:5" ht="16.5" thickBot="1" x14ac:dyDescent="0.3">
      <c r="A542" s="64" t="s">
        <v>150</v>
      </c>
      <c r="B542" s="26" t="s">
        <v>91</v>
      </c>
      <c r="C542" s="43">
        <v>1466811.92</v>
      </c>
      <c r="D542" s="43">
        <v>1269263</v>
      </c>
      <c r="E542" s="35">
        <v>1500000</v>
      </c>
    </row>
    <row r="543" spans="1:5" ht="17.25" thickTop="1" thickBot="1" x14ac:dyDescent="0.3">
      <c r="A543" s="64"/>
      <c r="B543" s="17" t="s">
        <v>85</v>
      </c>
      <c r="C543" s="41">
        <f>SUM(C538:C542)</f>
        <v>4044839.16</v>
      </c>
      <c r="D543" s="41">
        <f>SUM(D538:D542)</f>
        <v>5839448</v>
      </c>
      <c r="E543" s="41">
        <v>7437759</v>
      </c>
    </row>
    <row r="544" spans="1:5" ht="16.5" thickTop="1" x14ac:dyDescent="0.25">
      <c r="A544" s="64"/>
      <c r="B544" s="10"/>
    </row>
    <row r="545" spans="1:5" ht="15.75" x14ac:dyDescent="0.25">
      <c r="A545" s="64"/>
      <c r="B545" s="4" t="s">
        <v>86</v>
      </c>
    </row>
    <row r="546" spans="1:5" ht="16.5" thickBot="1" x14ac:dyDescent="0.3">
      <c r="A546" s="67" t="s">
        <v>264</v>
      </c>
      <c r="B546" s="7" t="s">
        <v>5</v>
      </c>
      <c r="C546" s="40">
        <v>1626.4</v>
      </c>
      <c r="D546" s="40">
        <v>0</v>
      </c>
      <c r="E546" s="35">
        <v>0</v>
      </c>
    </row>
    <row r="547" spans="1:5" ht="17.25" thickTop="1" thickBot="1" x14ac:dyDescent="0.3">
      <c r="A547" s="67" t="s">
        <v>228</v>
      </c>
      <c r="B547" s="17" t="s">
        <v>87</v>
      </c>
      <c r="C547" s="41">
        <f>C535-C543+SUM(C546:C546)</f>
        <v>-157097.84000000023</v>
      </c>
      <c r="D547" s="41">
        <f>D535-D543+SUM(D546:D546)</f>
        <v>-778058</v>
      </c>
      <c r="E547" s="41">
        <v>-1610929</v>
      </c>
    </row>
    <row r="548" spans="1:5" ht="17.25" thickTop="1" thickBot="1" x14ac:dyDescent="0.3">
      <c r="A548" s="64"/>
      <c r="B548" s="10"/>
    </row>
    <row r="549" spans="1:5" ht="21" thickTop="1" thickBot="1" x14ac:dyDescent="0.45">
      <c r="A549" s="64"/>
      <c r="B549" s="29" t="s">
        <v>92</v>
      </c>
    </row>
    <row r="550" spans="1:5" ht="16.5" thickTop="1" x14ac:dyDescent="0.25">
      <c r="A550" s="64"/>
      <c r="B550" s="4" t="s">
        <v>81</v>
      </c>
    </row>
    <row r="551" spans="1:5" ht="15.75" x14ac:dyDescent="0.25">
      <c r="A551" s="64" t="s">
        <v>117</v>
      </c>
      <c r="B551" s="7" t="s">
        <v>118</v>
      </c>
      <c r="C551" s="40">
        <v>598908.4</v>
      </c>
      <c r="D551" s="40">
        <v>641500</v>
      </c>
      <c r="E551" s="35">
        <v>623000</v>
      </c>
    </row>
    <row r="552" spans="1:5" ht="15.75" x14ac:dyDescent="0.25">
      <c r="A552" s="64" t="s">
        <v>119</v>
      </c>
      <c r="B552" s="16" t="s">
        <v>120</v>
      </c>
      <c r="C552" s="40">
        <v>11282.84</v>
      </c>
      <c r="D552" s="40">
        <v>8600</v>
      </c>
      <c r="E552" s="35">
        <v>9000</v>
      </c>
    </row>
    <row r="553" spans="1:5" ht="15.75" x14ac:dyDescent="0.25">
      <c r="A553" s="64" t="s">
        <v>93</v>
      </c>
      <c r="B553" s="7" t="s">
        <v>143</v>
      </c>
      <c r="C553" s="40">
        <v>1814684.21</v>
      </c>
      <c r="D553" s="40">
        <v>1981846</v>
      </c>
      <c r="E553" s="35">
        <v>2082200</v>
      </c>
    </row>
    <row r="554" spans="1:5" ht="16.5" thickBot="1" x14ac:dyDescent="0.3">
      <c r="A554" s="64" t="s">
        <v>94</v>
      </c>
      <c r="B554" s="16" t="s">
        <v>144</v>
      </c>
      <c r="C554" s="40">
        <v>44357</v>
      </c>
      <c r="D554" s="40">
        <v>40804</v>
      </c>
      <c r="E554" s="35">
        <v>54950</v>
      </c>
    </row>
    <row r="555" spans="1:5" ht="17.25" thickTop="1" thickBot="1" x14ac:dyDescent="0.3">
      <c r="A555" s="64"/>
      <c r="B555" s="17" t="s">
        <v>89</v>
      </c>
      <c r="C555" s="41">
        <f>SUM(C551:C554)</f>
        <v>2469232.4500000002</v>
      </c>
      <c r="D555" s="41">
        <f>SUM(D551:D554)</f>
        <v>2672750</v>
      </c>
      <c r="E555" s="41">
        <v>2769150</v>
      </c>
    </row>
    <row r="556" spans="1:5" ht="16.5" thickTop="1" x14ac:dyDescent="0.25">
      <c r="A556" s="64"/>
      <c r="B556" s="15"/>
    </row>
    <row r="557" spans="1:5" x14ac:dyDescent="0.2">
      <c r="B557" s="4" t="s">
        <v>84</v>
      </c>
    </row>
    <row r="558" spans="1:5" ht="15.75" x14ac:dyDescent="0.25">
      <c r="A558" s="64" t="s">
        <v>95</v>
      </c>
      <c r="B558" s="7" t="s">
        <v>82</v>
      </c>
      <c r="C558" s="40">
        <v>600509.46</v>
      </c>
      <c r="D558" s="40">
        <v>667682</v>
      </c>
      <c r="E558" s="35">
        <v>679609</v>
      </c>
    </row>
    <row r="559" spans="1:5" ht="15.75" x14ac:dyDescent="0.25">
      <c r="A559" s="67" t="s">
        <v>96</v>
      </c>
      <c r="B559" s="7" t="s">
        <v>83</v>
      </c>
      <c r="C559" s="40">
        <v>1406116.6</v>
      </c>
      <c r="D559" s="40">
        <v>1462972</v>
      </c>
      <c r="E559" s="35">
        <v>1416711</v>
      </c>
    </row>
    <row r="560" spans="1:5" ht="15.75" x14ac:dyDescent="0.25">
      <c r="A560" s="64" t="s">
        <v>103</v>
      </c>
      <c r="B560" s="22" t="s">
        <v>102</v>
      </c>
      <c r="C560" s="40">
        <v>0</v>
      </c>
      <c r="D560" s="40">
        <v>176137</v>
      </c>
      <c r="E560" s="35">
        <v>6100</v>
      </c>
    </row>
    <row r="561" spans="1:5" ht="15.75" x14ac:dyDescent="0.25">
      <c r="A561" s="64" t="s">
        <v>207</v>
      </c>
      <c r="B561" s="7" t="s">
        <v>208</v>
      </c>
      <c r="C561" s="40">
        <v>117625.86</v>
      </c>
      <c r="D561" s="40">
        <v>172497</v>
      </c>
      <c r="E561" s="35">
        <v>168313</v>
      </c>
    </row>
    <row r="562" spans="1:5" ht="15.75" x14ac:dyDescent="0.25">
      <c r="A562" s="67" t="s">
        <v>211</v>
      </c>
      <c r="B562" s="7" t="s">
        <v>209</v>
      </c>
      <c r="C562" s="40">
        <v>301376.83</v>
      </c>
      <c r="D562" s="40">
        <v>328409</v>
      </c>
      <c r="E562" s="35">
        <v>460862</v>
      </c>
    </row>
    <row r="563" spans="1:5" ht="15.75" x14ac:dyDescent="0.25">
      <c r="A563" s="64" t="s">
        <v>212</v>
      </c>
      <c r="B563" s="22" t="s">
        <v>210</v>
      </c>
      <c r="C563" s="40">
        <v>0</v>
      </c>
      <c r="D563" s="40">
        <v>0</v>
      </c>
      <c r="E563" s="35">
        <v>0</v>
      </c>
    </row>
    <row r="564" spans="1:5" ht="15.75" x14ac:dyDescent="0.25">
      <c r="A564" s="64" t="s">
        <v>152</v>
      </c>
      <c r="B564" s="22" t="s">
        <v>235</v>
      </c>
      <c r="C564" s="40">
        <v>0</v>
      </c>
      <c r="D564" s="40">
        <v>106653</v>
      </c>
      <c r="E564" s="35">
        <v>797969</v>
      </c>
    </row>
    <row r="565" spans="1:5" ht="16.5" thickBot="1" x14ac:dyDescent="0.3">
      <c r="A565" s="64" t="s">
        <v>151</v>
      </c>
      <c r="B565" s="16" t="s">
        <v>91</v>
      </c>
      <c r="C565" s="40">
        <v>3332.54</v>
      </c>
      <c r="D565" s="40">
        <v>25000</v>
      </c>
      <c r="E565" s="35">
        <v>25000</v>
      </c>
    </row>
    <row r="566" spans="1:5" ht="17.25" thickTop="1" thickBot="1" x14ac:dyDescent="0.3">
      <c r="A566" s="64"/>
      <c r="B566" s="17" t="s">
        <v>85</v>
      </c>
      <c r="C566" s="41">
        <f>SUM(C558:C565)</f>
        <v>2428961.29</v>
      </c>
      <c r="D566" s="41">
        <f>SUM(D558:D565)</f>
        <v>2939350</v>
      </c>
      <c r="E566" s="41">
        <v>3554564</v>
      </c>
    </row>
    <row r="567" spans="1:5" ht="16.5" thickTop="1" x14ac:dyDescent="0.25">
      <c r="A567" s="64"/>
      <c r="B567" s="15"/>
    </row>
    <row r="568" spans="1:5" ht="15.75" x14ac:dyDescent="0.25">
      <c r="A568" s="64"/>
      <c r="B568" s="24" t="s">
        <v>86</v>
      </c>
    </row>
    <row r="569" spans="1:5" ht="16.5" thickBot="1" x14ac:dyDescent="0.3">
      <c r="A569" s="64" t="s">
        <v>223</v>
      </c>
      <c r="B569" s="16" t="s">
        <v>129</v>
      </c>
      <c r="C569" s="40">
        <v>0</v>
      </c>
      <c r="D569" s="40">
        <v>-314900</v>
      </c>
      <c r="E569" s="35">
        <v>0</v>
      </c>
    </row>
    <row r="570" spans="1:5" ht="17.25" thickTop="1" thickBot="1" x14ac:dyDescent="0.3">
      <c r="A570" s="67" t="s">
        <v>228</v>
      </c>
      <c r="B570" s="17" t="s">
        <v>87</v>
      </c>
      <c r="C570" s="41">
        <f>C555-C566+SUM(C569:C569)</f>
        <v>40271.160000000149</v>
      </c>
      <c r="D570" s="41">
        <f>D555-D566+SUM(D569:D569)</f>
        <v>-581500</v>
      </c>
      <c r="E570" s="41">
        <v>-785414</v>
      </c>
    </row>
    <row r="571" spans="1:5" ht="17.25" thickTop="1" thickBot="1" x14ac:dyDescent="0.3">
      <c r="A571" s="64"/>
      <c r="B571" s="15"/>
    </row>
    <row r="572" spans="1:5" ht="21" thickTop="1" thickBot="1" x14ac:dyDescent="0.45">
      <c r="A572" s="64"/>
      <c r="B572" s="29" t="s">
        <v>97</v>
      </c>
    </row>
    <row r="573" spans="1:5" ht="16.5" thickTop="1" x14ac:dyDescent="0.25">
      <c r="A573" s="64"/>
      <c r="B573" s="4" t="s">
        <v>81</v>
      </c>
    </row>
    <row r="574" spans="1:5" ht="15.75" x14ac:dyDescent="0.25">
      <c r="A574" s="64" t="s">
        <v>115</v>
      </c>
      <c r="B574" s="16" t="s">
        <v>142</v>
      </c>
      <c r="C574" s="40">
        <v>0</v>
      </c>
      <c r="D574" s="40">
        <v>0</v>
      </c>
      <c r="E574" s="35">
        <v>0</v>
      </c>
    </row>
    <row r="575" spans="1:5" ht="15.75" x14ac:dyDescent="0.25">
      <c r="A575" s="64" t="s">
        <v>117</v>
      </c>
      <c r="B575" s="7" t="s">
        <v>118</v>
      </c>
      <c r="C575" s="40">
        <v>652882.98</v>
      </c>
      <c r="D575" s="40">
        <v>662436</v>
      </c>
      <c r="E575" s="35">
        <v>761546</v>
      </c>
    </row>
    <row r="576" spans="1:5" ht="15.75" x14ac:dyDescent="0.25">
      <c r="A576" s="64" t="s">
        <v>119</v>
      </c>
      <c r="B576" s="16" t="s">
        <v>120</v>
      </c>
      <c r="C576" s="40">
        <f>47582.09-9387.75</f>
        <v>38194.339999999997</v>
      </c>
      <c r="D576" s="40">
        <v>5000</v>
      </c>
      <c r="E576" s="35">
        <v>7500</v>
      </c>
    </row>
    <row r="577" spans="1:5" ht="16.5" thickBot="1" x14ac:dyDescent="0.3">
      <c r="A577" s="64" t="s">
        <v>141</v>
      </c>
      <c r="B577" s="7" t="s">
        <v>142</v>
      </c>
      <c r="C577" s="40">
        <v>6136912.4500000002</v>
      </c>
      <c r="D577" s="40">
        <v>7283983</v>
      </c>
      <c r="E577" s="35">
        <v>7169644</v>
      </c>
    </row>
    <row r="578" spans="1:5" ht="17.25" thickTop="1" thickBot="1" x14ac:dyDescent="0.3">
      <c r="A578" s="64"/>
      <c r="B578" s="17" t="s">
        <v>89</v>
      </c>
      <c r="C578" s="41">
        <f>SUM(C574:C577)</f>
        <v>6827989.7700000005</v>
      </c>
      <c r="D578" s="41">
        <f>SUM(D574:D577)</f>
        <v>7951419</v>
      </c>
      <c r="E578" s="41">
        <v>7938690</v>
      </c>
    </row>
    <row r="579" spans="1:5" ht="16.5" thickTop="1" x14ac:dyDescent="0.25">
      <c r="A579" s="64"/>
      <c r="B579" s="15"/>
    </row>
    <row r="580" spans="1:5" x14ac:dyDescent="0.2">
      <c r="B580" s="4" t="s">
        <v>84</v>
      </c>
    </row>
    <row r="581" spans="1:5" ht="15.75" x14ac:dyDescent="0.25">
      <c r="A581" s="64" t="s">
        <v>98</v>
      </c>
      <c r="B581" s="7" t="s">
        <v>82</v>
      </c>
      <c r="C581" s="40">
        <v>2025501.32</v>
      </c>
      <c r="D581" s="40">
        <v>2166553</v>
      </c>
      <c r="E581" s="35">
        <v>2274431</v>
      </c>
    </row>
    <row r="582" spans="1:5" ht="15.75" x14ac:dyDescent="0.25">
      <c r="A582" s="67" t="s">
        <v>213</v>
      </c>
      <c r="B582" s="7" t="s">
        <v>83</v>
      </c>
      <c r="C582" s="40">
        <f>6866442.34-C581-C583-C585+C590</f>
        <v>2133454.5099999993</v>
      </c>
      <c r="D582" s="40">
        <f>7982419-2166553-41115-239620-50000-2856515-50000</f>
        <v>2578616</v>
      </c>
      <c r="E582" s="35">
        <v>2893584</v>
      </c>
    </row>
    <row r="583" spans="1:5" ht="15.75" x14ac:dyDescent="0.25">
      <c r="A583" s="64" t="s">
        <v>214</v>
      </c>
      <c r="B583" s="22" t="s">
        <v>102</v>
      </c>
      <c r="C583" s="40">
        <v>62437.57</v>
      </c>
      <c r="D583" s="40">
        <v>41115</v>
      </c>
      <c r="E583" s="35">
        <v>87500</v>
      </c>
    </row>
    <row r="584" spans="1:5" ht="15.75" x14ac:dyDescent="0.25">
      <c r="A584" s="64" t="s">
        <v>224</v>
      </c>
      <c r="B584" s="22" t="s">
        <v>235</v>
      </c>
      <c r="C584" s="40">
        <v>0</v>
      </c>
      <c r="D584" s="40">
        <v>239620</v>
      </c>
      <c r="E584" s="35">
        <v>1037471</v>
      </c>
    </row>
    <row r="585" spans="1:5" ht="16.5" thickBot="1" x14ac:dyDescent="0.3">
      <c r="A585" s="64" t="s">
        <v>99</v>
      </c>
      <c r="B585" s="16" t="s">
        <v>91</v>
      </c>
      <c r="C585" s="40">
        <v>65182.67</v>
      </c>
      <c r="D585" s="40">
        <v>50000</v>
      </c>
      <c r="E585" s="35">
        <v>75000</v>
      </c>
    </row>
    <row r="586" spans="1:5" ht="17.25" thickTop="1" thickBot="1" x14ac:dyDescent="0.3">
      <c r="A586" s="64"/>
      <c r="B586" s="17" t="s">
        <v>85</v>
      </c>
      <c r="C586" s="41">
        <f>SUM(C581:C585)</f>
        <v>4286576.0699999994</v>
      </c>
      <c r="D586" s="41">
        <f>SUM(D581:D585)</f>
        <v>5075904</v>
      </c>
      <c r="E586" s="41">
        <v>6367986</v>
      </c>
    </row>
    <row r="587" spans="1:5" ht="16.5" thickTop="1" x14ac:dyDescent="0.25">
      <c r="A587" s="64"/>
      <c r="B587" s="15"/>
    </row>
    <row r="588" spans="1:5" ht="15.75" x14ac:dyDescent="0.25">
      <c r="A588" s="64"/>
      <c r="B588" s="24" t="s">
        <v>86</v>
      </c>
    </row>
    <row r="589" spans="1:5" ht="15.75" x14ac:dyDescent="0.25">
      <c r="A589" s="67" t="s">
        <v>264</v>
      </c>
      <c r="B589" s="16" t="s">
        <v>5</v>
      </c>
      <c r="C589" s="40">
        <v>9387.75</v>
      </c>
      <c r="D589" s="40">
        <v>8000</v>
      </c>
      <c r="E589" s="35">
        <v>8000</v>
      </c>
    </row>
    <row r="590" spans="1:5" ht="15.75" x14ac:dyDescent="0.25">
      <c r="A590" s="67" t="s">
        <v>147</v>
      </c>
      <c r="B590" s="7" t="s">
        <v>312</v>
      </c>
      <c r="C590" s="40">
        <v>-2579866.27</v>
      </c>
      <c r="D590" s="40">
        <v>-2856515</v>
      </c>
      <c r="E590" s="35">
        <v>-2595714</v>
      </c>
    </row>
    <row r="591" spans="1:5" ht="16.5" thickBot="1" x14ac:dyDescent="0.3">
      <c r="A591" s="67" t="s">
        <v>147</v>
      </c>
      <c r="B591" s="7" t="s">
        <v>311</v>
      </c>
      <c r="C591" s="40">
        <v>0</v>
      </c>
      <c r="D591" s="40">
        <v>-50000</v>
      </c>
      <c r="E591" s="35">
        <v>0</v>
      </c>
    </row>
    <row r="592" spans="1:5" ht="17.25" thickTop="1" thickBot="1" x14ac:dyDescent="0.3">
      <c r="A592" s="67" t="s">
        <v>228</v>
      </c>
      <c r="B592" s="17" t="s">
        <v>87</v>
      </c>
      <c r="C592" s="41">
        <f>C578-C586+SUM(C589:C591)</f>
        <v>-29064.819999998901</v>
      </c>
      <c r="D592" s="41">
        <f>D578-D586+SUM(D589:D591)</f>
        <v>-23000</v>
      </c>
      <c r="E592" s="41">
        <v>-1017010</v>
      </c>
    </row>
    <row r="593" spans="1:5" ht="17.25" thickTop="1" thickBot="1" x14ac:dyDescent="0.3">
      <c r="A593" s="64"/>
      <c r="B593" s="15"/>
    </row>
    <row r="594" spans="1:5" ht="21" thickTop="1" thickBot="1" x14ac:dyDescent="0.45">
      <c r="A594" s="64"/>
      <c r="B594" s="29" t="s">
        <v>100</v>
      </c>
    </row>
    <row r="595" spans="1:5" ht="16.5" thickTop="1" x14ac:dyDescent="0.25">
      <c r="A595" s="64"/>
      <c r="B595" s="4" t="s">
        <v>81</v>
      </c>
    </row>
    <row r="596" spans="1:5" ht="15.75" x14ac:dyDescent="0.25">
      <c r="A596" s="64" t="s">
        <v>115</v>
      </c>
      <c r="B596" s="7" t="s">
        <v>123</v>
      </c>
      <c r="C596" s="40">
        <v>0</v>
      </c>
      <c r="D596" s="40">
        <v>0</v>
      </c>
      <c r="E596" s="35">
        <v>0</v>
      </c>
    </row>
    <row r="597" spans="1:5" ht="15.75" x14ac:dyDescent="0.25">
      <c r="A597" s="64" t="s">
        <v>117</v>
      </c>
      <c r="B597" s="7" t="s">
        <v>118</v>
      </c>
      <c r="C597" s="40">
        <v>58476.27</v>
      </c>
      <c r="D597" s="40">
        <v>53025</v>
      </c>
      <c r="E597" s="35">
        <v>85703</v>
      </c>
    </row>
    <row r="598" spans="1:5" ht="15.75" x14ac:dyDescent="0.25">
      <c r="A598" s="64" t="s">
        <v>119</v>
      </c>
      <c r="B598" s="7" t="s">
        <v>120</v>
      </c>
      <c r="C598" s="40">
        <v>4138.9399999999996</v>
      </c>
      <c r="D598" s="40">
        <v>1500</v>
      </c>
      <c r="E598" s="35">
        <v>3000</v>
      </c>
    </row>
    <row r="599" spans="1:5" ht="16.5" thickBot="1" x14ac:dyDescent="0.3">
      <c r="A599" s="64" t="s">
        <v>141</v>
      </c>
      <c r="B599" s="7" t="s">
        <v>142</v>
      </c>
      <c r="C599" s="40">
        <v>515251.16</v>
      </c>
      <c r="D599" s="40">
        <v>877097</v>
      </c>
      <c r="E599" s="35">
        <v>729420</v>
      </c>
    </row>
    <row r="600" spans="1:5" ht="17.25" thickTop="1" thickBot="1" x14ac:dyDescent="0.3">
      <c r="A600" s="64"/>
      <c r="B600" s="17" t="s">
        <v>89</v>
      </c>
      <c r="C600" s="41">
        <f>SUM(C596:C599)</f>
        <v>577866.37</v>
      </c>
      <c r="D600" s="41">
        <f>SUM(D596:D599)</f>
        <v>931622</v>
      </c>
      <c r="E600" s="41">
        <v>818123</v>
      </c>
    </row>
    <row r="601" spans="1:5" ht="16.5" thickTop="1" x14ac:dyDescent="0.25">
      <c r="A601" s="64"/>
      <c r="B601" s="15"/>
    </row>
    <row r="602" spans="1:5" x14ac:dyDescent="0.2">
      <c r="B602" s="4" t="s">
        <v>84</v>
      </c>
    </row>
    <row r="603" spans="1:5" ht="15.75" x14ac:dyDescent="0.25">
      <c r="A603" s="64" t="s">
        <v>101</v>
      </c>
      <c r="B603" s="7" t="s">
        <v>82</v>
      </c>
      <c r="C603" s="40">
        <v>200063</v>
      </c>
      <c r="D603" s="40">
        <v>205946</v>
      </c>
      <c r="E603" s="35">
        <v>215921</v>
      </c>
    </row>
    <row r="604" spans="1:5" ht="15.75" x14ac:dyDescent="0.25">
      <c r="A604" s="67" t="s">
        <v>215</v>
      </c>
      <c r="B604" s="7" t="s">
        <v>83</v>
      </c>
      <c r="C604" s="40">
        <f>574732.65-C603-C607</f>
        <v>270496.35000000003</v>
      </c>
      <c r="D604" s="40">
        <f>931622-205946-321425</f>
        <v>404251</v>
      </c>
      <c r="E604" s="35">
        <v>355084</v>
      </c>
    </row>
    <row r="605" spans="1:5" ht="15.75" x14ac:dyDescent="0.25">
      <c r="A605" s="64" t="s">
        <v>216</v>
      </c>
      <c r="B605" s="22" t="s">
        <v>102</v>
      </c>
      <c r="C605" s="40">
        <v>0</v>
      </c>
      <c r="D605" s="40">
        <v>0</v>
      </c>
      <c r="E605" s="35">
        <v>0</v>
      </c>
    </row>
    <row r="606" spans="1:5" ht="15.75" x14ac:dyDescent="0.25">
      <c r="A606" s="64" t="s">
        <v>225</v>
      </c>
      <c r="B606" s="22" t="s">
        <v>235</v>
      </c>
      <c r="C606" s="40">
        <v>0</v>
      </c>
      <c r="D606" s="40">
        <v>221425</v>
      </c>
      <c r="E606" s="35">
        <v>230766</v>
      </c>
    </row>
    <row r="607" spans="1:5" ht="16.5" thickBot="1" x14ac:dyDescent="0.3">
      <c r="A607" s="64" t="s">
        <v>148</v>
      </c>
      <c r="B607" s="16" t="s">
        <v>91</v>
      </c>
      <c r="C607" s="40">
        <v>104173.3</v>
      </c>
      <c r="D607" s="40">
        <v>100000</v>
      </c>
      <c r="E607" s="35">
        <v>110000</v>
      </c>
    </row>
    <row r="608" spans="1:5" ht="17.25" thickTop="1" thickBot="1" x14ac:dyDescent="0.3">
      <c r="A608" s="64"/>
      <c r="B608" s="17" t="s">
        <v>85</v>
      </c>
      <c r="C608" s="41">
        <f>SUM(C603:C607)</f>
        <v>574732.65</v>
      </c>
      <c r="D608" s="41">
        <f>SUM(D603:D607)</f>
        <v>931622</v>
      </c>
      <c r="E608" s="41">
        <v>911771</v>
      </c>
    </row>
    <row r="609" spans="1:5" ht="16.5" thickTop="1" x14ac:dyDescent="0.25">
      <c r="A609" s="64"/>
      <c r="B609" s="15"/>
      <c r="C609" s="47"/>
      <c r="D609" s="47"/>
    </row>
    <row r="610" spans="1:5" ht="16.5" thickBot="1" x14ac:dyDescent="0.3">
      <c r="A610" s="64"/>
      <c r="B610" s="4" t="s">
        <v>86</v>
      </c>
      <c r="C610" s="47"/>
      <c r="D610" s="47"/>
    </row>
    <row r="611" spans="1:5" ht="17.25" thickTop="1" thickBot="1" x14ac:dyDescent="0.3">
      <c r="A611" s="67" t="s">
        <v>228</v>
      </c>
      <c r="B611" s="17" t="s">
        <v>87</v>
      </c>
      <c r="C611" s="41">
        <f>C600-C608</f>
        <v>3133.7199999999721</v>
      </c>
      <c r="D611" s="41">
        <f>D600-D608</f>
        <v>0</v>
      </c>
      <c r="E611" s="41">
        <v>-93648</v>
      </c>
    </row>
    <row r="612" spans="1:5" ht="17.25" thickTop="1" thickBot="1" x14ac:dyDescent="0.3">
      <c r="A612" s="64"/>
      <c r="B612" s="15"/>
    </row>
    <row r="613" spans="1:5" ht="21" thickTop="1" thickBot="1" x14ac:dyDescent="0.45">
      <c r="A613" s="64"/>
      <c r="B613" s="29" t="s">
        <v>104</v>
      </c>
    </row>
    <row r="614" spans="1:5" ht="16.5" thickTop="1" x14ac:dyDescent="0.25">
      <c r="A614" s="64"/>
      <c r="B614" s="4" t="s">
        <v>81</v>
      </c>
    </row>
    <row r="615" spans="1:5" ht="15.75" x14ac:dyDescent="0.25">
      <c r="A615" s="64" t="s">
        <v>115</v>
      </c>
      <c r="B615" s="7" t="s">
        <v>123</v>
      </c>
      <c r="C615" s="40">
        <v>0</v>
      </c>
      <c r="D615" s="40">
        <v>0</v>
      </c>
      <c r="E615" s="35">
        <v>0</v>
      </c>
    </row>
    <row r="616" spans="1:5" ht="15.75" x14ac:dyDescent="0.25">
      <c r="A616" s="64" t="s">
        <v>117</v>
      </c>
      <c r="B616" s="7" t="s">
        <v>118</v>
      </c>
      <c r="C616" s="40">
        <v>345357.15</v>
      </c>
      <c r="D616" s="40">
        <v>323200</v>
      </c>
      <c r="E616" s="35">
        <v>348360</v>
      </c>
    </row>
    <row r="617" spans="1:5" ht="15.75" x14ac:dyDescent="0.25">
      <c r="A617" s="64" t="s">
        <v>119</v>
      </c>
      <c r="B617" s="7" t="s">
        <v>120</v>
      </c>
      <c r="C617" s="40">
        <v>315.52</v>
      </c>
      <c r="D617" s="40">
        <v>0</v>
      </c>
      <c r="E617" s="35">
        <v>0</v>
      </c>
    </row>
    <row r="618" spans="1:5" ht="16.5" thickBot="1" x14ac:dyDescent="0.3">
      <c r="A618" s="64" t="s">
        <v>141</v>
      </c>
      <c r="B618" s="7" t="s">
        <v>142</v>
      </c>
      <c r="C618" s="40">
        <v>385944.85</v>
      </c>
      <c r="D618" s="40">
        <v>728252</v>
      </c>
      <c r="E618" s="35">
        <v>760392</v>
      </c>
    </row>
    <row r="619" spans="1:5" ht="17.25" thickTop="1" thickBot="1" x14ac:dyDescent="0.3">
      <c r="A619" s="64"/>
      <c r="B619" s="17" t="s">
        <v>89</v>
      </c>
      <c r="C619" s="44">
        <f>SUM(C615:C618)</f>
        <v>731617.52</v>
      </c>
      <c r="D619" s="44">
        <f>SUM(D615:D618)</f>
        <v>1051452</v>
      </c>
      <c r="E619" s="44">
        <v>1108752</v>
      </c>
    </row>
    <row r="620" spans="1:5" ht="16.5" thickTop="1" x14ac:dyDescent="0.25">
      <c r="A620" s="64"/>
      <c r="B620" s="15"/>
    </row>
    <row r="621" spans="1:5" ht="15.75" x14ac:dyDescent="0.25">
      <c r="A621" s="64"/>
      <c r="B621" s="4" t="s">
        <v>84</v>
      </c>
    </row>
    <row r="622" spans="1:5" ht="15.75" x14ac:dyDescent="0.25">
      <c r="A622" s="67" t="s">
        <v>145</v>
      </c>
      <c r="B622" s="14" t="s">
        <v>82</v>
      </c>
      <c r="C622" s="40">
        <v>143534.70000000001</v>
      </c>
      <c r="D622" s="40">
        <v>204460</v>
      </c>
      <c r="E622" s="35">
        <v>197553</v>
      </c>
    </row>
    <row r="623" spans="1:5" ht="15.75" x14ac:dyDescent="0.25">
      <c r="A623" s="67" t="s">
        <v>217</v>
      </c>
      <c r="B623" s="14" t="s">
        <v>83</v>
      </c>
      <c r="C623" s="40">
        <f>732431.65-C622-C626</f>
        <v>482713.16999999993</v>
      </c>
      <c r="D623" s="40">
        <f>1051452-519928</f>
        <v>531524</v>
      </c>
      <c r="E623" s="35">
        <v>502854</v>
      </c>
    </row>
    <row r="624" spans="1:5" ht="15.75" x14ac:dyDescent="0.25">
      <c r="A624" s="64" t="s">
        <v>218</v>
      </c>
      <c r="B624" s="22" t="s">
        <v>102</v>
      </c>
      <c r="C624" s="40">
        <v>0</v>
      </c>
      <c r="D624" s="40">
        <v>5091</v>
      </c>
      <c r="E624" s="35">
        <v>40000</v>
      </c>
    </row>
    <row r="625" spans="1:5" ht="15.75" x14ac:dyDescent="0.25">
      <c r="A625" s="64" t="s">
        <v>226</v>
      </c>
      <c r="B625" s="22" t="s">
        <v>235</v>
      </c>
      <c r="C625" s="40">
        <v>0</v>
      </c>
      <c r="D625" s="40">
        <v>189776</v>
      </c>
      <c r="E625" s="35">
        <v>354257</v>
      </c>
    </row>
    <row r="626" spans="1:5" ht="16.5" thickBot="1" x14ac:dyDescent="0.3">
      <c r="A626" s="64" t="s">
        <v>153</v>
      </c>
      <c r="B626" s="16" t="s">
        <v>91</v>
      </c>
      <c r="C626" s="40">
        <v>106183.78</v>
      </c>
      <c r="D626" s="40">
        <v>120601</v>
      </c>
      <c r="E626" s="35">
        <v>110000</v>
      </c>
    </row>
    <row r="627" spans="1:5" ht="17.25" thickTop="1" thickBot="1" x14ac:dyDescent="0.3">
      <c r="A627" s="64"/>
      <c r="B627" s="17" t="s">
        <v>85</v>
      </c>
      <c r="C627" s="44">
        <f>SUM(C622:C626)</f>
        <v>732431.64999999991</v>
      </c>
      <c r="D627" s="44">
        <f>SUM(D622:D626)</f>
        <v>1051452</v>
      </c>
      <c r="E627" s="44">
        <v>1204664</v>
      </c>
    </row>
    <row r="628" spans="1:5" ht="16.5" thickTop="1" x14ac:dyDescent="0.25">
      <c r="A628" s="64"/>
      <c r="B628" s="15"/>
    </row>
    <row r="629" spans="1:5" ht="15.75" x14ac:dyDescent="0.25">
      <c r="A629" s="64"/>
      <c r="B629" s="4" t="s">
        <v>86</v>
      </c>
    </row>
    <row r="630" spans="1:5" ht="16.5" thickBot="1" x14ac:dyDescent="0.3">
      <c r="A630" s="64" t="s">
        <v>316</v>
      </c>
      <c r="B630" s="7" t="s">
        <v>311</v>
      </c>
      <c r="C630" s="40">
        <v>0</v>
      </c>
      <c r="D630" s="40">
        <v>0</v>
      </c>
      <c r="E630" s="35">
        <v>0</v>
      </c>
    </row>
    <row r="631" spans="1:5" ht="17.25" thickTop="1" thickBot="1" x14ac:dyDescent="0.3">
      <c r="A631" s="67" t="s">
        <v>228</v>
      </c>
      <c r="B631" s="17" t="s">
        <v>87</v>
      </c>
      <c r="C631" s="44">
        <f>C619-C627+C630</f>
        <v>-814.12999999988824</v>
      </c>
      <c r="D631" s="44">
        <f>D619-D627+D630</f>
        <v>0</v>
      </c>
      <c r="E631" s="44">
        <v>-95912</v>
      </c>
    </row>
    <row r="632" spans="1:5" ht="17.25" thickTop="1" thickBot="1" x14ac:dyDescent="0.3">
      <c r="A632" s="64"/>
      <c r="B632" s="15"/>
      <c r="C632" s="45"/>
      <c r="D632" s="45"/>
    </row>
    <row r="633" spans="1:5" ht="21" thickTop="1" thickBot="1" x14ac:dyDescent="0.45">
      <c r="A633" s="64"/>
      <c r="B633" s="29" t="s">
        <v>107</v>
      </c>
    </row>
    <row r="634" spans="1:5" ht="16.5" thickTop="1" x14ac:dyDescent="0.25">
      <c r="A634" s="64"/>
      <c r="B634" s="4" t="s">
        <v>81</v>
      </c>
    </row>
    <row r="635" spans="1:5" ht="15.75" x14ac:dyDescent="0.25">
      <c r="A635" s="64" t="s">
        <v>115</v>
      </c>
      <c r="B635" s="7" t="s">
        <v>123</v>
      </c>
      <c r="C635" s="40">
        <v>0</v>
      </c>
      <c r="D635" s="40">
        <v>0</v>
      </c>
      <c r="E635" s="35">
        <v>0</v>
      </c>
    </row>
    <row r="636" spans="1:5" ht="15.75" x14ac:dyDescent="0.25">
      <c r="A636" s="64" t="s">
        <v>117</v>
      </c>
      <c r="B636" s="7" t="s">
        <v>118</v>
      </c>
      <c r="C636" s="40">
        <v>110584</v>
      </c>
      <c r="D636" s="40">
        <v>110584</v>
      </c>
      <c r="E636" s="35">
        <v>28000</v>
      </c>
    </row>
    <row r="637" spans="1:5" ht="15.75" x14ac:dyDescent="0.25">
      <c r="A637" s="64" t="s">
        <v>119</v>
      </c>
      <c r="B637" s="7" t="s">
        <v>120</v>
      </c>
      <c r="C637" s="40">
        <v>17424.09</v>
      </c>
      <c r="D637" s="40">
        <v>4000</v>
      </c>
      <c r="E637" s="35">
        <v>7600</v>
      </c>
    </row>
    <row r="638" spans="1:5" ht="16.5" thickBot="1" x14ac:dyDescent="0.3">
      <c r="A638" s="64" t="s">
        <v>141</v>
      </c>
      <c r="B638" s="25" t="s">
        <v>142</v>
      </c>
      <c r="C638" s="40">
        <v>3118052.01</v>
      </c>
      <c r="D638" s="40">
        <v>3451008</v>
      </c>
      <c r="E638" s="35">
        <v>3575491</v>
      </c>
    </row>
    <row r="639" spans="1:5" ht="17.25" thickTop="1" thickBot="1" x14ac:dyDescent="0.3">
      <c r="A639" s="64"/>
      <c r="B639" s="17" t="s">
        <v>89</v>
      </c>
      <c r="C639" s="44">
        <f>SUM(C635:C638)</f>
        <v>3246060.0999999996</v>
      </c>
      <c r="D639" s="44">
        <f>SUM(D635:D638)</f>
        <v>3565592</v>
      </c>
      <c r="E639" s="44">
        <v>3611091</v>
      </c>
    </row>
    <row r="640" spans="1:5" ht="16.5" thickTop="1" x14ac:dyDescent="0.25">
      <c r="A640" s="64"/>
      <c r="B640" s="15"/>
    </row>
    <row r="641" spans="1:5" ht="15.75" x14ac:dyDescent="0.25">
      <c r="A641" s="67"/>
      <c r="B641" s="4" t="s">
        <v>84</v>
      </c>
    </row>
    <row r="642" spans="1:5" ht="15.75" x14ac:dyDescent="0.25">
      <c r="A642" s="67" t="s">
        <v>146</v>
      </c>
      <c r="B642" s="7" t="s">
        <v>154</v>
      </c>
      <c r="C642" s="40">
        <v>771657.84</v>
      </c>
      <c r="D642" s="40">
        <v>788426</v>
      </c>
      <c r="E642" s="35">
        <v>819575</v>
      </c>
    </row>
    <row r="643" spans="1:5" ht="15.75" x14ac:dyDescent="0.25">
      <c r="A643" s="67" t="s">
        <v>220</v>
      </c>
      <c r="B643" s="7" t="s">
        <v>155</v>
      </c>
      <c r="C643" s="40">
        <f>453810.91+138743.28-5060.31</f>
        <v>587493.87999999989</v>
      </c>
      <c r="D643" s="40">
        <f>573246+384121-298490</f>
        <v>658877</v>
      </c>
      <c r="E643" s="35">
        <v>666576</v>
      </c>
    </row>
    <row r="644" spans="1:5" ht="15.75" x14ac:dyDescent="0.25">
      <c r="A644" s="64" t="s">
        <v>219</v>
      </c>
      <c r="B644" s="16" t="s">
        <v>162</v>
      </c>
      <c r="C644" s="40">
        <f>14870.06+5060.31</f>
        <v>19930.37</v>
      </c>
      <c r="D644" s="40">
        <v>154317</v>
      </c>
      <c r="E644" s="35">
        <v>243189</v>
      </c>
    </row>
    <row r="645" spans="1:5" ht="15.75" x14ac:dyDescent="0.25">
      <c r="A645" s="64" t="s">
        <v>227</v>
      </c>
      <c r="B645" s="7" t="s">
        <v>235</v>
      </c>
      <c r="C645" s="40">
        <v>0</v>
      </c>
      <c r="D645" s="40">
        <v>298490</v>
      </c>
      <c r="E645" s="35">
        <v>1318861</v>
      </c>
    </row>
    <row r="646" spans="1:5" ht="15.75" x14ac:dyDescent="0.25">
      <c r="A646" s="64" t="s">
        <v>160</v>
      </c>
      <c r="B646" s="16" t="s">
        <v>91</v>
      </c>
      <c r="C646" s="40">
        <v>91422.58</v>
      </c>
      <c r="D646" s="40">
        <v>125000</v>
      </c>
      <c r="E646" s="35">
        <v>100000</v>
      </c>
    </row>
    <row r="647" spans="1:5" ht="15.75" x14ac:dyDescent="0.25">
      <c r="A647" s="67" t="s">
        <v>156</v>
      </c>
      <c r="B647" s="7" t="s">
        <v>158</v>
      </c>
      <c r="C647" s="40">
        <v>1407219.45</v>
      </c>
      <c r="D647" s="40">
        <v>1492882</v>
      </c>
      <c r="E647" s="35">
        <v>1321342</v>
      </c>
    </row>
    <row r="648" spans="1:5" ht="15.75" x14ac:dyDescent="0.25">
      <c r="A648" s="67" t="s">
        <v>157</v>
      </c>
      <c r="B648" s="7" t="s">
        <v>159</v>
      </c>
      <c r="C648" s="40">
        <f>1490976.6-C647</f>
        <v>83757.15000000014</v>
      </c>
      <c r="D648" s="40">
        <f>1616482-D647</f>
        <v>123600</v>
      </c>
      <c r="E648" s="35">
        <v>104346</v>
      </c>
    </row>
    <row r="649" spans="1:5" ht="16.5" thickBot="1" x14ac:dyDescent="0.3">
      <c r="A649" s="64" t="s">
        <v>161</v>
      </c>
      <c r="B649" s="16" t="s">
        <v>163</v>
      </c>
      <c r="C649" s="40">
        <v>0</v>
      </c>
      <c r="D649" s="40">
        <v>0</v>
      </c>
      <c r="E649" s="35">
        <v>0</v>
      </c>
    </row>
    <row r="650" spans="1:5" ht="17.25" thickTop="1" thickBot="1" x14ac:dyDescent="0.3">
      <c r="A650" s="64"/>
      <c r="B650" s="17" t="s">
        <v>85</v>
      </c>
      <c r="C650" s="44">
        <f>SUM(C642:C649)</f>
        <v>2961481.2700000005</v>
      </c>
      <c r="D650" s="44">
        <f>SUM(D642:D649)</f>
        <v>3641592</v>
      </c>
      <c r="E650" s="44">
        <v>4573889</v>
      </c>
    </row>
    <row r="651" spans="1:5" ht="16.5" thickTop="1" x14ac:dyDescent="0.25">
      <c r="A651" s="64"/>
      <c r="B651" s="15"/>
    </row>
    <row r="652" spans="1:5" ht="15.75" x14ac:dyDescent="0.25">
      <c r="A652" s="64"/>
      <c r="B652" s="24" t="s">
        <v>86</v>
      </c>
    </row>
    <row r="653" spans="1:5" ht="16.5" thickBot="1" x14ac:dyDescent="0.3">
      <c r="A653" s="67" t="s">
        <v>264</v>
      </c>
      <c r="B653" s="7" t="s">
        <v>5</v>
      </c>
      <c r="C653" s="40">
        <v>10135.81</v>
      </c>
      <c r="D653" s="40">
        <v>8000</v>
      </c>
      <c r="E653" s="35">
        <v>12000</v>
      </c>
    </row>
    <row r="654" spans="1:5" ht="17.25" thickTop="1" thickBot="1" x14ac:dyDescent="0.3">
      <c r="A654" s="67" t="s">
        <v>228</v>
      </c>
      <c r="B654" s="17" t="s">
        <v>87</v>
      </c>
      <c r="C654" s="44">
        <f>C639+C653-C650</f>
        <v>294714.6399999992</v>
      </c>
      <c r="D654" s="44">
        <f>D639+D653-D650</f>
        <v>-68000</v>
      </c>
      <c r="E654" s="44">
        <v>-950798</v>
      </c>
    </row>
    <row r="655" spans="1:5" ht="15.75" thickTop="1" x14ac:dyDescent="0.2"/>
  </sheetData>
  <sheetProtection insertRows="0" deleteRows="0"/>
  <customSheetViews>
    <customSheetView guid="{9A0F58E2-86D1-4C31-B508-0A9EC0FD1CF8}" scale="75" showRuler="0">
      <pane xSplit="2" ySplit="3" topLeftCell="F192" activePane="bottomRight" state="frozen"/>
      <selection pane="bottomRight" activeCell="F199" sqref="F199"/>
      <rowBreaks count="10" manualBreakCount="10">
        <brk id="215" max="8" man="1"/>
        <brk id="269" max="8" man="1"/>
        <brk id="348" max="8" man="1"/>
        <brk id="427" max="8" man="1"/>
        <brk id="455" max="8" man="1"/>
        <brk id="535" max="8" man="1"/>
        <brk id="556" max="8" man="1"/>
        <brk id="582" max="8" man="1"/>
        <brk id="650" max="8" man="1"/>
        <brk id="713" max="8" man="1"/>
      </rowBreaks>
      <pageMargins left="0.5" right="0.5" top="0.5" bottom="0.5" header="0.25" footer="0.25"/>
      <pageSetup scale="52" fitToHeight="14" orientation="portrait" r:id="rId1"/>
      <headerFooter alignWithMargins="0">
        <oddHeader>&amp;LYEAR 2006 FINAL BUDGET&amp;C&amp;"Arial,Bold"EXHIBIT "A"&amp;RPAGE: &amp;P OF &amp;N</oddHeader>
        <oddFooter>&amp;L&amp;"Arial,Bold"COMMISSION MEETING DECEMBER 6, 2005&amp;RPrinted 10/28/2005 1:37 PM</oddFooter>
      </headerFooter>
    </customSheetView>
  </customSheetViews>
  <mergeCells count="1">
    <mergeCell ref="C177:D177"/>
  </mergeCells>
  <phoneticPr fontId="0" type="noConversion"/>
  <printOptions horizontalCentered="1"/>
  <pageMargins left="0.5" right="0.5" top="0.74" bottom="0.71" header="0.41" footer="0.49"/>
  <pageSetup scale="61" fitToHeight="14" orientation="portrait" r:id="rId2"/>
  <headerFooter alignWithMargins="0">
    <oddHeader>&amp;LYEAR 2015 FINAL BUDGET&amp;C&amp;"Arial,Bold"EXHIBIT "A"&amp;RPAGE: &amp;P OF &amp;N</oddHeader>
    <oddFooter>&amp;L&amp;"Arial,Bold"COMMISSION MEETING DECEMBER 23, 2014</oddFooter>
  </headerFooter>
  <rowBreaks count="12" manualBreakCount="12">
    <brk id="50" max="6" man="1"/>
    <brk id="109" max="6" man="1"/>
    <brk id="176" max="6" man="1"/>
    <brk id="243" max="6" man="1"/>
    <brk id="311" max="6" man="1"/>
    <brk id="374" max="6" man="1"/>
    <brk id="423" max="6" man="1"/>
    <brk id="461" max="6" man="1"/>
    <brk id="498" max="6" man="1"/>
    <brk id="528" max="6" man="1"/>
    <brk id="571" max="6" man="1"/>
    <brk id="61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4" customWidth="1"/>
    <col min="5" max="5" width="15.42578125" customWidth="1"/>
  </cols>
  <sheetData>
    <row r="1" spans="1:5" ht="19.5" x14ac:dyDescent="0.4">
      <c r="A1" s="18"/>
      <c r="B1" s="2" t="s">
        <v>237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 s="42"/>
    </row>
    <row r="5" spans="1:5" ht="15.75" x14ac:dyDescent="0.25">
      <c r="A5" s="6" t="s">
        <v>127</v>
      </c>
      <c r="B5" s="7" t="s">
        <v>128</v>
      </c>
      <c r="C5" s="43">
        <v>1938930.5</v>
      </c>
      <c r="D5" s="43">
        <v>1850000</v>
      </c>
      <c r="E5" s="35">
        <v>1998000</v>
      </c>
    </row>
    <row r="6" spans="1:5" ht="15.75" x14ac:dyDescent="0.25">
      <c r="A6" s="6" t="s">
        <v>115</v>
      </c>
      <c r="B6" s="16" t="s">
        <v>123</v>
      </c>
      <c r="C6" s="43">
        <v>729452</v>
      </c>
      <c r="D6" s="43">
        <v>735000</v>
      </c>
      <c r="E6" s="35">
        <v>810000</v>
      </c>
    </row>
    <row r="7" spans="1:5" ht="15.75" x14ac:dyDescent="0.25">
      <c r="A7" s="6" t="s">
        <v>119</v>
      </c>
      <c r="B7" s="16" t="s">
        <v>120</v>
      </c>
      <c r="C7" s="40">
        <v>14353.03</v>
      </c>
      <c r="D7" s="40">
        <v>12000</v>
      </c>
      <c r="E7" s="35">
        <v>8000</v>
      </c>
    </row>
    <row r="8" spans="1:5" ht="16.5" thickBot="1" x14ac:dyDescent="0.3">
      <c r="A8" s="11" t="s">
        <v>228</v>
      </c>
      <c r="B8" s="7" t="s">
        <v>109</v>
      </c>
      <c r="C8" s="40">
        <v>0</v>
      </c>
      <c r="D8" s="40">
        <v>0</v>
      </c>
      <c r="E8" s="35">
        <v>28500</v>
      </c>
    </row>
    <row r="9" spans="1:5" ht="17.25" thickTop="1" thickBot="1" x14ac:dyDescent="0.3">
      <c r="A9" s="6"/>
      <c r="B9" s="17" t="s">
        <v>6</v>
      </c>
      <c r="C9" s="41">
        <f>SUM(C5:C8)</f>
        <v>2682735.5299999998</v>
      </c>
      <c r="D9" s="41">
        <f>SUM(D5:D8)</f>
        <v>2597000</v>
      </c>
      <c r="E9" s="41">
        <v>2844500</v>
      </c>
    </row>
    <row r="10" spans="1:5" ht="16.5" thickTop="1" x14ac:dyDescent="0.25">
      <c r="A10" s="6"/>
      <c r="B10" s="10"/>
      <c r="C10" s="42"/>
      <c r="D10" s="42"/>
    </row>
    <row r="11" spans="1:5" ht="15.75" x14ac:dyDescent="0.25">
      <c r="A11" s="6"/>
      <c r="B11" s="10" t="s">
        <v>7</v>
      </c>
      <c r="C11" s="42"/>
      <c r="D11" s="42"/>
    </row>
    <row r="12" spans="1:5" ht="15.75" x14ac:dyDescent="0.25">
      <c r="A12" s="11" t="s">
        <v>260</v>
      </c>
      <c r="B12" s="7" t="s">
        <v>257</v>
      </c>
      <c r="C12" s="43">
        <v>38.6</v>
      </c>
      <c r="D12" s="43">
        <v>500</v>
      </c>
      <c r="E12" s="35">
        <v>500</v>
      </c>
    </row>
    <row r="13" spans="1:5" ht="15.75" x14ac:dyDescent="0.25">
      <c r="A13" s="6" t="s">
        <v>63</v>
      </c>
      <c r="B13" s="7" t="s">
        <v>229</v>
      </c>
      <c r="C13" s="43">
        <v>2590117</v>
      </c>
      <c r="D13" s="43">
        <v>2596500</v>
      </c>
      <c r="E13" s="35">
        <v>2844000</v>
      </c>
    </row>
    <row r="14" spans="1:5" ht="16.5" thickBot="1" x14ac:dyDescent="0.3">
      <c r="A14" s="6" t="s">
        <v>314</v>
      </c>
      <c r="B14" s="7" t="s">
        <v>235</v>
      </c>
      <c r="C14" s="43">
        <f>C9-C12-C13</f>
        <v>92579.929999999702</v>
      </c>
      <c r="D14" s="43">
        <v>0</v>
      </c>
      <c r="E14" s="35">
        <v>0</v>
      </c>
    </row>
    <row r="15" spans="1:5" ht="17.25" thickTop="1" thickBot="1" x14ac:dyDescent="0.3">
      <c r="A15" s="6"/>
      <c r="B15" s="17" t="s">
        <v>51</v>
      </c>
      <c r="C15" s="51">
        <f>SUM(C12:C14)</f>
        <v>2682735.5299999998</v>
      </c>
      <c r="D15" s="51">
        <f>SUM(D12:D14)</f>
        <v>2597000</v>
      </c>
      <c r="E15" s="41">
        <v>2844500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2015 FINAL BUDGET&amp;C&amp;"Arial,Bold"EXHIBIT "A"&amp;RPAGE: &amp;P OF &amp;N</oddHeader>
    <oddFooter>&amp;L&amp;"Arial,Bold"BOARD OF TRUSTEES MEETING DECEMBER 16, 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0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4" customWidth="1"/>
    <col min="5" max="5" width="15.42578125" customWidth="1"/>
  </cols>
  <sheetData>
    <row r="1" spans="1:5" ht="19.5" x14ac:dyDescent="0.4">
      <c r="A1" s="18"/>
      <c r="B1" s="2" t="s">
        <v>236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 s="42"/>
    </row>
    <row r="5" spans="1:5" ht="15.75" x14ac:dyDescent="0.25">
      <c r="A5" s="6" t="s">
        <v>127</v>
      </c>
      <c r="B5" s="7" t="s">
        <v>187</v>
      </c>
      <c r="C5" s="43">
        <v>602192.68000000005</v>
      </c>
      <c r="D5" s="43">
        <v>600000</v>
      </c>
      <c r="E5" s="43">
        <v>616000</v>
      </c>
    </row>
    <row r="6" spans="1:5" ht="15.75" x14ac:dyDescent="0.25">
      <c r="A6" s="6" t="s">
        <v>370</v>
      </c>
      <c r="B6" s="7" t="s">
        <v>371</v>
      </c>
      <c r="C6" s="43">
        <v>26905</v>
      </c>
      <c r="D6" s="43">
        <v>18000</v>
      </c>
      <c r="E6" s="43">
        <v>21500</v>
      </c>
    </row>
    <row r="7" spans="1:5" ht="15.75" x14ac:dyDescent="0.25">
      <c r="A7" s="6" t="s">
        <v>117</v>
      </c>
      <c r="B7" s="7" t="s">
        <v>118</v>
      </c>
      <c r="C7" s="43">
        <v>31170</v>
      </c>
      <c r="D7" s="43">
        <v>28000</v>
      </c>
      <c r="E7" s="43">
        <v>27000</v>
      </c>
    </row>
    <row r="8" spans="1:5" ht="15.75" x14ac:dyDescent="0.25">
      <c r="A8" s="6" t="s">
        <v>119</v>
      </c>
      <c r="B8" s="16" t="s">
        <v>120</v>
      </c>
      <c r="C8" s="43">
        <v>9547.26</v>
      </c>
      <c r="D8" s="43">
        <v>5405</v>
      </c>
      <c r="E8" s="43">
        <v>5000</v>
      </c>
    </row>
    <row r="9" spans="1:5" ht="15.75" x14ac:dyDescent="0.25">
      <c r="A9" s="11" t="s">
        <v>106</v>
      </c>
      <c r="B9" s="7" t="s">
        <v>230</v>
      </c>
      <c r="C9" s="43">
        <v>250000</v>
      </c>
      <c r="D9" s="43">
        <v>250000</v>
      </c>
      <c r="E9" s="43">
        <v>250000</v>
      </c>
    </row>
    <row r="10" spans="1:5" ht="16.5" thickBot="1" x14ac:dyDescent="0.3">
      <c r="A10" s="11" t="s">
        <v>228</v>
      </c>
      <c r="B10" s="7" t="s">
        <v>109</v>
      </c>
      <c r="C10" s="43">
        <v>0</v>
      </c>
      <c r="D10" s="43">
        <v>66413</v>
      </c>
      <c r="E10" s="43">
        <v>0</v>
      </c>
    </row>
    <row r="11" spans="1:5" ht="17.25" thickTop="1" thickBot="1" x14ac:dyDescent="0.3">
      <c r="A11" s="6"/>
      <c r="B11" s="17" t="s">
        <v>6</v>
      </c>
      <c r="C11" s="41">
        <f>SUM(C5:C10)</f>
        <v>919814.94000000006</v>
      </c>
      <c r="D11" s="41">
        <f>SUM(D5:D10)</f>
        <v>967818</v>
      </c>
      <c r="E11" s="41">
        <v>919500</v>
      </c>
    </row>
    <row r="12" spans="1:5" ht="16.5" thickTop="1" x14ac:dyDescent="0.25">
      <c r="A12" s="6"/>
      <c r="B12" s="10"/>
      <c r="C12" s="42"/>
      <c r="D12" s="42"/>
      <c r="E12" s="42"/>
    </row>
    <row r="13" spans="1:5" ht="15.75" x14ac:dyDescent="0.25">
      <c r="A13" s="6"/>
      <c r="B13" s="10" t="s">
        <v>7</v>
      </c>
      <c r="C13" s="42"/>
      <c r="D13" s="42"/>
      <c r="E13" s="42"/>
    </row>
    <row r="14" spans="1:5" ht="15.75" x14ac:dyDescent="0.25">
      <c r="A14" s="11" t="s">
        <v>231</v>
      </c>
      <c r="B14" s="7" t="s">
        <v>233</v>
      </c>
      <c r="C14" s="43">
        <v>137466.10999999999</v>
      </c>
      <c r="D14" s="43">
        <v>170734</v>
      </c>
      <c r="E14" s="43">
        <v>191091</v>
      </c>
    </row>
    <row r="15" spans="1:5" ht="15.75" x14ac:dyDescent="0.25">
      <c r="A15" s="11" t="s">
        <v>64</v>
      </c>
      <c r="B15" s="7" t="s">
        <v>257</v>
      </c>
      <c r="C15" s="43">
        <v>51222.44</v>
      </c>
      <c r="D15" s="43">
        <f>66795+4007</f>
        <v>70802</v>
      </c>
      <c r="E15" s="43">
        <v>69997</v>
      </c>
    </row>
    <row r="16" spans="1:5" ht="15.75" x14ac:dyDescent="0.25">
      <c r="A16" s="11" t="s">
        <v>232</v>
      </c>
      <c r="B16" s="16" t="s">
        <v>234</v>
      </c>
      <c r="C16" s="43">
        <v>0</v>
      </c>
      <c r="D16" s="43">
        <v>0</v>
      </c>
      <c r="E16" s="43">
        <v>0</v>
      </c>
    </row>
    <row r="17" spans="1:5" ht="15.75" x14ac:dyDescent="0.25">
      <c r="A17" s="6" t="s">
        <v>174</v>
      </c>
      <c r="B17" s="16" t="s">
        <v>235</v>
      </c>
      <c r="C17" s="43">
        <f>C11-C14-C15-C18</f>
        <v>292105.97000000015</v>
      </c>
      <c r="D17" s="43">
        <v>50000</v>
      </c>
      <c r="E17" s="43">
        <v>28412</v>
      </c>
    </row>
    <row r="18" spans="1:5" ht="16.5" thickBot="1" x14ac:dyDescent="0.3">
      <c r="A18" s="64" t="s">
        <v>470</v>
      </c>
      <c r="B18" s="63" t="s">
        <v>471</v>
      </c>
      <c r="C18" s="43">
        <v>439020.42</v>
      </c>
      <c r="D18" s="43">
        <v>676282</v>
      </c>
      <c r="E18" s="43">
        <v>630000</v>
      </c>
    </row>
    <row r="19" spans="1:5" ht="17.25" thickTop="1" thickBot="1" x14ac:dyDescent="0.3">
      <c r="A19" s="6"/>
      <c r="B19" s="17" t="s">
        <v>51</v>
      </c>
      <c r="C19" s="44">
        <f>SUM(C14:C18)</f>
        <v>919814.94000000018</v>
      </c>
      <c r="D19" s="44">
        <f>SUM(D14:D18)</f>
        <v>967818</v>
      </c>
      <c r="E19" s="44">
        <v>919500</v>
      </c>
    </row>
    <row r="20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2015 FINAL BUDGET&amp;C&amp;"Arial,Bold"EXHIBIT "A"&amp;RPAGE: &amp;P OF &amp;N</oddHeader>
    <oddFooter>&amp;L&amp;"Arial,Bold"BOARD OF TRUSTEES MEETING DECEMBER 16,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4" customWidth="1"/>
    <col min="5" max="5" width="15.42578125" customWidth="1"/>
  </cols>
  <sheetData>
    <row r="1" spans="1:5" ht="19.5" x14ac:dyDescent="0.4">
      <c r="A1" s="18"/>
      <c r="B1" s="2" t="s">
        <v>238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 s="42"/>
    </row>
    <row r="5" spans="1:5" ht="15.75" x14ac:dyDescent="0.25">
      <c r="A5" s="6" t="s">
        <v>127</v>
      </c>
      <c r="B5" s="7" t="s">
        <v>187</v>
      </c>
      <c r="C5" s="43">
        <v>451108.03</v>
      </c>
      <c r="D5" s="43">
        <v>430000</v>
      </c>
      <c r="E5" s="43">
        <v>475500</v>
      </c>
    </row>
    <row r="6" spans="1:5" ht="15.75" x14ac:dyDescent="0.25">
      <c r="A6" s="6" t="s">
        <v>115</v>
      </c>
      <c r="B6" s="16" t="s">
        <v>123</v>
      </c>
      <c r="C6" s="43">
        <v>163037</v>
      </c>
      <c r="D6" s="43">
        <v>180827</v>
      </c>
      <c r="E6" s="43">
        <v>185000</v>
      </c>
    </row>
    <row r="7" spans="1:5" ht="15.75" x14ac:dyDescent="0.25">
      <c r="A7" s="6" t="s">
        <v>119</v>
      </c>
      <c r="B7" s="16" t="s">
        <v>120</v>
      </c>
      <c r="C7" s="43">
        <v>17651.919999999998</v>
      </c>
      <c r="D7" s="43">
        <v>7762</v>
      </c>
      <c r="E7" s="43">
        <v>11000</v>
      </c>
    </row>
    <row r="8" spans="1:5" ht="16.5" thickBot="1" x14ac:dyDescent="0.3">
      <c r="A8" s="11" t="s">
        <v>228</v>
      </c>
      <c r="B8" s="7" t="s">
        <v>109</v>
      </c>
      <c r="C8" s="40">
        <v>0</v>
      </c>
      <c r="D8" s="40">
        <v>0</v>
      </c>
      <c r="E8" s="40">
        <v>45120</v>
      </c>
    </row>
    <row r="9" spans="1:5" ht="17.25" thickTop="1" thickBot="1" x14ac:dyDescent="0.3">
      <c r="A9" s="6"/>
      <c r="B9" s="17" t="s">
        <v>6</v>
      </c>
      <c r="C9" s="41">
        <f>SUM(C5:C8)</f>
        <v>631796.95000000007</v>
      </c>
      <c r="D9" s="41">
        <f>SUM(D5:D8)</f>
        <v>618589</v>
      </c>
      <c r="E9" s="41">
        <v>716620</v>
      </c>
    </row>
    <row r="10" spans="1:5" ht="16.5" thickTop="1" x14ac:dyDescent="0.25">
      <c r="A10" s="6"/>
      <c r="B10" s="10"/>
      <c r="C10" s="42"/>
      <c r="D10" s="42"/>
      <c r="E10" s="42"/>
    </row>
    <row r="11" spans="1:5" ht="15.75" x14ac:dyDescent="0.25">
      <c r="A11" s="6"/>
      <c r="B11" s="10" t="s">
        <v>7</v>
      </c>
      <c r="C11" s="42"/>
      <c r="D11" s="42"/>
      <c r="E11" s="42"/>
    </row>
    <row r="12" spans="1:5" ht="15.75" x14ac:dyDescent="0.25">
      <c r="A12" s="11" t="s">
        <v>259</v>
      </c>
      <c r="B12" s="7" t="s">
        <v>257</v>
      </c>
      <c r="C12" s="43">
        <v>37.549999999999997</v>
      </c>
      <c r="D12" s="43">
        <v>500</v>
      </c>
      <c r="E12" s="43">
        <v>100</v>
      </c>
    </row>
    <row r="13" spans="1:5" ht="15.75" x14ac:dyDescent="0.25">
      <c r="A13" s="6" t="s">
        <v>65</v>
      </c>
      <c r="B13" s="7" t="s">
        <v>239</v>
      </c>
      <c r="C13" s="43">
        <v>444581.56</v>
      </c>
      <c r="D13" s="43">
        <v>618089</v>
      </c>
      <c r="E13" s="43">
        <v>666520</v>
      </c>
    </row>
    <row r="14" spans="1:5" ht="16.5" thickBot="1" x14ac:dyDescent="0.3">
      <c r="A14" s="6" t="s">
        <v>221</v>
      </c>
      <c r="B14" s="16" t="s">
        <v>235</v>
      </c>
      <c r="C14" s="43">
        <f>C9-C12-C13</f>
        <v>187177.84000000003</v>
      </c>
      <c r="D14" s="43">
        <v>0</v>
      </c>
      <c r="E14" s="43">
        <v>50000</v>
      </c>
    </row>
    <row r="15" spans="1:5" ht="17.25" thickTop="1" thickBot="1" x14ac:dyDescent="0.3">
      <c r="A15" s="6"/>
      <c r="B15" s="17" t="s">
        <v>51</v>
      </c>
      <c r="C15" s="41">
        <f>SUM(C12:C14)</f>
        <v>631796.94999999995</v>
      </c>
      <c r="D15" s="41">
        <f>SUM(D12:D14)</f>
        <v>618589</v>
      </c>
      <c r="E15" s="41">
        <v>716620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2015 FINAL BUDGET&amp;C&amp;"Arial,Bold"EXHIBIT "A"&amp;RPAGE: &amp;P OF &amp;N</oddHeader>
    <oddFooter>&amp;L&amp;"Arial,Bold"BOARD OF TRUSTEES MEETING DECEMBER 16, 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4" customWidth="1"/>
    <col min="5" max="5" width="15.42578125" customWidth="1"/>
  </cols>
  <sheetData>
    <row r="1" spans="1:5" ht="19.5" x14ac:dyDescent="0.4">
      <c r="A1" s="18"/>
      <c r="B1" s="2" t="s">
        <v>240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 s="42"/>
    </row>
    <row r="5" spans="1:5" ht="15.75" x14ac:dyDescent="0.25">
      <c r="A5" s="6" t="s">
        <v>127</v>
      </c>
      <c r="B5" s="7" t="s">
        <v>187</v>
      </c>
      <c r="C5" s="43">
        <v>98866</v>
      </c>
      <c r="D5" s="43">
        <f>94500+3500</f>
        <v>98000</v>
      </c>
      <c r="E5" s="35">
        <v>106500</v>
      </c>
    </row>
    <row r="6" spans="1:5" ht="15.75" x14ac:dyDescent="0.25">
      <c r="A6" s="6" t="s">
        <v>115</v>
      </c>
      <c r="B6" s="16" t="s">
        <v>123</v>
      </c>
      <c r="C6" s="43">
        <v>73342</v>
      </c>
      <c r="D6" s="43">
        <v>81176</v>
      </c>
      <c r="E6" s="35">
        <v>85000</v>
      </c>
    </row>
    <row r="7" spans="1:5" ht="15.75" x14ac:dyDescent="0.25">
      <c r="A7" s="6" t="s">
        <v>119</v>
      </c>
      <c r="B7" s="16" t="s">
        <v>120</v>
      </c>
      <c r="C7" s="43">
        <v>6213.18</v>
      </c>
      <c r="D7" s="43">
        <v>2700</v>
      </c>
      <c r="E7" s="35">
        <v>4000</v>
      </c>
    </row>
    <row r="8" spans="1:5" ht="16.5" thickBot="1" x14ac:dyDescent="0.3">
      <c r="A8" s="11" t="s">
        <v>228</v>
      </c>
      <c r="B8" s="7" t="s">
        <v>109</v>
      </c>
      <c r="C8" s="43">
        <f>C15-C5-C6-C7</f>
        <v>71616.37</v>
      </c>
      <c r="D8" s="43">
        <v>73624</v>
      </c>
      <c r="E8" s="35">
        <v>60000</v>
      </c>
    </row>
    <row r="9" spans="1:5" ht="17.25" thickTop="1" thickBot="1" x14ac:dyDescent="0.3">
      <c r="A9" s="6"/>
      <c r="B9" s="17" t="s">
        <v>6</v>
      </c>
      <c r="C9" s="41">
        <f>SUM(C5:C8)</f>
        <v>250037.55</v>
      </c>
      <c r="D9" s="41">
        <f>SUM(D5:D8)</f>
        <v>255500</v>
      </c>
      <c r="E9" s="41">
        <v>255500</v>
      </c>
    </row>
    <row r="10" spans="1:5" ht="16.5" thickTop="1" x14ac:dyDescent="0.25">
      <c r="A10" s="6"/>
      <c r="B10" s="10"/>
      <c r="C10" s="42"/>
      <c r="D10" s="42"/>
    </row>
    <row r="11" spans="1:5" ht="15.75" x14ac:dyDescent="0.25">
      <c r="A11" s="6"/>
      <c r="B11" s="10" t="s">
        <v>7</v>
      </c>
      <c r="C11" s="42"/>
      <c r="D11" s="42"/>
    </row>
    <row r="12" spans="1:5" ht="15.75" x14ac:dyDescent="0.25">
      <c r="A12" s="11" t="s">
        <v>256</v>
      </c>
      <c r="B12" s="7" t="s">
        <v>257</v>
      </c>
      <c r="C12" s="40">
        <v>37.549999999999997</v>
      </c>
      <c r="D12" s="40">
        <v>500</v>
      </c>
      <c r="E12" s="35">
        <v>500</v>
      </c>
    </row>
    <row r="13" spans="1:5" ht="15.75" x14ac:dyDescent="0.25">
      <c r="A13" s="6" t="s">
        <v>66</v>
      </c>
      <c r="B13" s="7" t="s">
        <v>241</v>
      </c>
      <c r="C13" s="43">
        <v>250000</v>
      </c>
      <c r="D13" s="43">
        <v>250000</v>
      </c>
      <c r="E13" s="35">
        <v>250000</v>
      </c>
    </row>
    <row r="14" spans="1:5" ht="16.5" thickBot="1" x14ac:dyDescent="0.3">
      <c r="A14" s="6" t="s">
        <v>258</v>
      </c>
      <c r="B14" s="22" t="s">
        <v>235</v>
      </c>
      <c r="C14" s="43">
        <v>0</v>
      </c>
      <c r="D14" s="43">
        <v>5000</v>
      </c>
      <c r="E14" s="35">
        <v>5000</v>
      </c>
    </row>
    <row r="15" spans="1:5" ht="17.25" thickTop="1" thickBot="1" x14ac:dyDescent="0.3">
      <c r="A15" s="6"/>
      <c r="B15" s="17" t="s">
        <v>51</v>
      </c>
      <c r="C15" s="41">
        <f>SUM(C12:C14)</f>
        <v>250037.55</v>
      </c>
      <c r="D15" s="41">
        <f>SUM(D12:D14)</f>
        <v>255500</v>
      </c>
      <c r="E15" s="41">
        <v>255500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2015 FINAL BUDGET&amp;C&amp;"Arial,Bold"EXHIBIT "A"&amp;RPAGE: &amp;P OF &amp;N</oddHeader>
    <oddFooter>&amp;L&amp;"Arial,Bold"BOARD OF TRUSTEES MEETING DECEMBER 16, 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4.5703125" style="5" bestFit="1" customWidth="1"/>
    <col min="2" max="2" width="60.28515625" style="5" bestFit="1" customWidth="1"/>
    <col min="3" max="4" width="13.42578125" style="34" customWidth="1"/>
    <col min="5" max="5" width="13.42578125" customWidth="1"/>
  </cols>
  <sheetData>
    <row r="1" spans="1:5" ht="19.5" x14ac:dyDescent="0.4">
      <c r="A1" s="18"/>
      <c r="B1" s="2" t="s">
        <v>245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 s="42"/>
    </row>
    <row r="5" spans="1:5" ht="15.75" x14ac:dyDescent="0.25">
      <c r="A5" s="6" t="s">
        <v>127</v>
      </c>
      <c r="B5" s="52" t="s">
        <v>128</v>
      </c>
      <c r="C5" s="43">
        <v>9692.5400000000009</v>
      </c>
      <c r="D5" s="43">
        <v>16200</v>
      </c>
      <c r="E5" s="43">
        <v>16500</v>
      </c>
    </row>
    <row r="6" spans="1:5" ht="15.75" x14ac:dyDescent="0.25">
      <c r="A6" s="6" t="s">
        <v>117</v>
      </c>
      <c r="B6" s="7" t="s">
        <v>118</v>
      </c>
      <c r="C6" s="43">
        <v>11472.25</v>
      </c>
      <c r="D6" s="43">
        <v>13773</v>
      </c>
      <c r="E6" s="43">
        <v>19000</v>
      </c>
    </row>
    <row r="7" spans="1:5" ht="15.75" x14ac:dyDescent="0.25">
      <c r="A7" s="6" t="s">
        <v>119</v>
      </c>
      <c r="B7" s="16" t="s">
        <v>120</v>
      </c>
      <c r="C7" s="43">
        <v>7350.47</v>
      </c>
      <c r="D7" s="43">
        <v>0</v>
      </c>
      <c r="E7" s="43">
        <v>0</v>
      </c>
    </row>
    <row r="8" spans="1:5" ht="16.5" thickBot="1" x14ac:dyDescent="0.3">
      <c r="A8" s="11" t="s">
        <v>228</v>
      </c>
      <c r="B8" s="7" t="s">
        <v>109</v>
      </c>
      <c r="C8" s="43">
        <f>60714.11-C7-C6-C5</f>
        <v>32198.85</v>
      </c>
      <c r="D8" s="43">
        <v>11377</v>
      </c>
      <c r="E8" s="43">
        <v>0</v>
      </c>
    </row>
    <row r="9" spans="1:5" ht="17.25" thickTop="1" thickBot="1" x14ac:dyDescent="0.3">
      <c r="A9" s="6"/>
      <c r="B9" s="23" t="s">
        <v>6</v>
      </c>
      <c r="C9" s="44">
        <f>SUM(C5:C8)</f>
        <v>60714.11</v>
      </c>
      <c r="D9" s="44">
        <f>SUM(D5:D8)</f>
        <v>41350</v>
      </c>
      <c r="E9" s="44">
        <v>35500</v>
      </c>
    </row>
    <row r="10" spans="1:5" ht="16.5" thickTop="1" x14ac:dyDescent="0.25">
      <c r="A10" s="6"/>
      <c r="B10" s="53"/>
      <c r="C10" s="45"/>
      <c r="D10" s="45"/>
      <c r="E10" s="45"/>
    </row>
    <row r="11" spans="1:5" ht="15.75" x14ac:dyDescent="0.25">
      <c r="A11" s="11" t="s">
        <v>449</v>
      </c>
      <c r="B11" s="7" t="s">
        <v>233</v>
      </c>
      <c r="C11" s="43">
        <v>34656.99</v>
      </c>
      <c r="D11" s="43">
        <v>10465</v>
      </c>
      <c r="E11" s="43">
        <v>11000</v>
      </c>
    </row>
    <row r="12" spans="1:5" ht="15.75" x14ac:dyDescent="0.25">
      <c r="A12" s="11" t="s">
        <v>246</v>
      </c>
      <c r="B12" s="7" t="s">
        <v>257</v>
      </c>
      <c r="C12" s="43">
        <v>26057.119999999999</v>
      </c>
      <c r="D12" s="43">
        <v>22077</v>
      </c>
      <c r="E12" s="43">
        <v>16500</v>
      </c>
    </row>
    <row r="13" spans="1:5" ht="15.75" x14ac:dyDescent="0.25">
      <c r="A13" s="11" t="s">
        <v>450</v>
      </c>
      <c r="B13" s="7" t="s">
        <v>234</v>
      </c>
      <c r="C13" s="43">
        <v>0</v>
      </c>
      <c r="D13" s="43">
        <v>0</v>
      </c>
      <c r="E13" s="43">
        <v>0</v>
      </c>
    </row>
    <row r="14" spans="1:5" ht="16.5" thickBot="1" x14ac:dyDescent="0.3">
      <c r="A14" s="11" t="s">
        <v>282</v>
      </c>
      <c r="B14" s="52" t="s">
        <v>235</v>
      </c>
      <c r="C14" s="43">
        <v>0</v>
      </c>
      <c r="D14" s="43">
        <v>8808</v>
      </c>
      <c r="E14" s="43">
        <v>8000</v>
      </c>
    </row>
    <row r="15" spans="1:5" ht="17.25" thickTop="1" thickBot="1" x14ac:dyDescent="0.3">
      <c r="A15" s="11"/>
      <c r="B15" s="23" t="s">
        <v>51</v>
      </c>
      <c r="C15" s="50">
        <f>SUM(C11:C14)</f>
        <v>60714.11</v>
      </c>
      <c r="D15" s="50">
        <f>SUM(D11:D14)</f>
        <v>41350</v>
      </c>
      <c r="E15" s="50">
        <v>35500</v>
      </c>
    </row>
    <row r="16" spans="1:5" ht="16.5" thickTop="1" x14ac:dyDescent="0.25">
      <c r="A16" s="11"/>
      <c r="B16" s="53"/>
      <c r="C16" s="42"/>
      <c r="D16" s="42"/>
    </row>
  </sheetData>
  <sheetProtection insertRows="0" deleteRows="0"/>
  <phoneticPr fontId="0" type="noConversion"/>
  <pageMargins left="0.75" right="0.75" top="1" bottom="1" header="0.5" footer="0.5"/>
  <pageSetup scale="64" orientation="portrait" r:id="rId1"/>
  <headerFooter alignWithMargins="0">
    <oddHeader>&amp;LYEAR 2015 FINAL BUDGET&amp;C&amp;"Arial,Bold"EXHIBIT "A"&amp;RPAGE: &amp;P OF &amp;N</oddHeader>
    <oddFooter>&amp;L&amp;"Arial,Bold"BOARD MEETING NOVEMBER 19,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7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7109375" style="5" bestFit="1" customWidth="1"/>
    <col min="3" max="4" width="15.42578125" style="27" customWidth="1"/>
    <col min="5" max="5" width="15.42578125" customWidth="1"/>
  </cols>
  <sheetData>
    <row r="1" spans="1:5" ht="19.5" x14ac:dyDescent="0.4">
      <c r="A1" s="18"/>
      <c r="B1" s="2" t="s">
        <v>453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458</v>
      </c>
      <c r="C2" s="31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20"/>
      <c r="C3" s="32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/>
      <c r="D4"/>
    </row>
    <row r="5" spans="1:5" ht="15.75" x14ac:dyDescent="0.25">
      <c r="A5" s="6" t="s">
        <v>115</v>
      </c>
      <c r="B5" s="16" t="s">
        <v>123</v>
      </c>
      <c r="C5" s="43">
        <v>-314573.36</v>
      </c>
      <c r="D5" s="43">
        <v>375000</v>
      </c>
      <c r="E5" s="35">
        <v>400000</v>
      </c>
    </row>
    <row r="6" spans="1:5" ht="15.75" x14ac:dyDescent="0.25">
      <c r="A6" s="6" t="s">
        <v>119</v>
      </c>
      <c r="B6" s="16" t="s">
        <v>120</v>
      </c>
      <c r="C6" s="40">
        <v>11708.31</v>
      </c>
      <c r="D6" s="40">
        <v>6000</v>
      </c>
      <c r="E6" s="35">
        <v>3000</v>
      </c>
    </row>
    <row r="7" spans="1:5" ht="16.5" thickBot="1" x14ac:dyDescent="0.3">
      <c r="A7" s="11" t="s">
        <v>228</v>
      </c>
      <c r="B7" s="7" t="s">
        <v>109</v>
      </c>
      <c r="C7" s="40">
        <f>C16-C5-C6</f>
        <v>1572634.8599999999</v>
      </c>
      <c r="D7" s="40">
        <v>1627715</v>
      </c>
      <c r="E7" s="35">
        <v>250000</v>
      </c>
    </row>
    <row r="8" spans="1:5" ht="17.25" thickTop="1" thickBot="1" x14ac:dyDescent="0.3">
      <c r="A8" s="6"/>
      <c r="B8" s="17" t="s">
        <v>6</v>
      </c>
      <c r="C8" s="41">
        <f>SUM(C5:C7)</f>
        <v>1269769.8099999998</v>
      </c>
      <c r="D8" s="41">
        <f>SUM(D5:D7)</f>
        <v>2008715</v>
      </c>
      <c r="E8" s="41">
        <v>653000</v>
      </c>
    </row>
    <row r="9" spans="1:5" ht="16.5" thickTop="1" x14ac:dyDescent="0.25">
      <c r="A9" s="6"/>
      <c r="B9" s="10"/>
      <c r="C9" s="42"/>
      <c r="D9" s="42"/>
    </row>
    <row r="10" spans="1:5" ht="15.75" x14ac:dyDescent="0.25">
      <c r="A10" s="6"/>
      <c r="B10" s="10" t="s">
        <v>7</v>
      </c>
      <c r="C10" s="42"/>
      <c r="D10" s="42"/>
    </row>
    <row r="11" spans="1:5" ht="15.75" x14ac:dyDescent="0.25">
      <c r="A11" s="11" t="s">
        <v>401</v>
      </c>
      <c r="B11" s="7" t="s">
        <v>257</v>
      </c>
      <c r="C11" s="43">
        <v>41.75</v>
      </c>
      <c r="D11" s="43">
        <v>100</v>
      </c>
      <c r="E11" s="35">
        <v>100</v>
      </c>
    </row>
    <row r="12" spans="1:5" ht="15.75" x14ac:dyDescent="0.25">
      <c r="A12" s="6" t="s">
        <v>130</v>
      </c>
      <c r="B12" s="7" t="s">
        <v>253</v>
      </c>
      <c r="C12" s="43">
        <v>1269728.06</v>
      </c>
      <c r="D12" s="43">
        <v>380900</v>
      </c>
      <c r="E12" s="35">
        <v>0</v>
      </c>
    </row>
    <row r="13" spans="1:5" ht="15.75" x14ac:dyDescent="0.25">
      <c r="A13" s="6" t="s">
        <v>411</v>
      </c>
      <c r="B13" s="7" t="s">
        <v>234</v>
      </c>
      <c r="C13" s="43">
        <v>0</v>
      </c>
      <c r="D13" s="43">
        <v>0</v>
      </c>
      <c r="E13" s="35">
        <v>0</v>
      </c>
    </row>
    <row r="14" spans="1:5" ht="15.75" x14ac:dyDescent="0.25">
      <c r="A14" s="6" t="s">
        <v>252</v>
      </c>
      <c r="B14" s="7" t="s">
        <v>400</v>
      </c>
      <c r="C14" s="43">
        <v>0</v>
      </c>
      <c r="D14" s="43">
        <v>0</v>
      </c>
      <c r="E14" s="35">
        <v>0</v>
      </c>
    </row>
    <row r="15" spans="1:5" ht="16.5" thickBot="1" x14ac:dyDescent="0.3">
      <c r="A15" s="6" t="s">
        <v>319</v>
      </c>
      <c r="B15" s="22" t="s">
        <v>235</v>
      </c>
      <c r="C15" s="43">
        <v>0</v>
      </c>
      <c r="D15" s="43">
        <v>1627715</v>
      </c>
      <c r="E15" s="35">
        <v>652900</v>
      </c>
    </row>
    <row r="16" spans="1:5" ht="17.25" thickTop="1" thickBot="1" x14ac:dyDescent="0.3">
      <c r="A16" s="6"/>
      <c r="B16" s="17" t="s">
        <v>51</v>
      </c>
      <c r="C16" s="51">
        <f>SUM(C11:C15)</f>
        <v>1269769.81</v>
      </c>
      <c r="D16" s="51">
        <f>SUM(D11:D15)</f>
        <v>2008715</v>
      </c>
      <c r="E16" s="51">
        <v>653000</v>
      </c>
    </row>
    <row r="17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2015 FINAL BUDGET&amp;C&amp;"Arial,Bold"EXHIBIT "A"&amp;RPAGE: &amp;P OF &amp;N</oddHeader>
    <oddFooter>&amp;L&amp;"Arial,Bold"ADMINISTRATIVE CONTROL BOARD MEETING DECEMBER 16, 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5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42578125" style="5" bestFit="1" customWidth="1"/>
    <col min="3" max="3" width="15.42578125" style="34" customWidth="1"/>
    <col min="4" max="4" width="15.42578125" style="27" customWidth="1"/>
    <col min="5" max="5" width="15.42578125" customWidth="1"/>
  </cols>
  <sheetData>
    <row r="1" spans="1:5" ht="19.5" x14ac:dyDescent="0.4">
      <c r="A1" s="18"/>
      <c r="B1" s="2" t="s">
        <v>321</v>
      </c>
      <c r="C1" s="30">
        <v>2013</v>
      </c>
      <c r="D1" s="30">
        <v>2014</v>
      </c>
      <c r="E1" s="30">
        <v>2015</v>
      </c>
    </row>
    <row r="2" spans="1:5" ht="20.25" thickBot="1" x14ac:dyDescent="0.45">
      <c r="B2" s="3" t="s">
        <v>320</v>
      </c>
      <c r="C2" s="48" t="s">
        <v>105</v>
      </c>
      <c r="D2" s="31" t="s">
        <v>1</v>
      </c>
      <c r="E2" s="31" t="s">
        <v>1</v>
      </c>
    </row>
    <row r="3" spans="1:5" ht="21" thickTop="1" thickBot="1" x14ac:dyDescent="0.45">
      <c r="A3" s="1"/>
      <c r="B3" s="3" t="s">
        <v>458</v>
      </c>
      <c r="C3" s="49" t="s">
        <v>105</v>
      </c>
      <c r="D3" s="32" t="s">
        <v>318</v>
      </c>
      <c r="E3" s="32" t="s">
        <v>510</v>
      </c>
    </row>
    <row r="4" spans="1:5" ht="16.5" thickTop="1" x14ac:dyDescent="0.25">
      <c r="A4" s="6"/>
      <c r="B4" s="10" t="s">
        <v>2</v>
      </c>
      <c r="C4" s="42"/>
      <c r="D4"/>
    </row>
    <row r="5" spans="1:5" ht="15.75" x14ac:dyDescent="0.25">
      <c r="A5" s="6" t="s">
        <v>119</v>
      </c>
      <c r="B5" s="7" t="s">
        <v>120</v>
      </c>
      <c r="C5" s="40">
        <v>335831.4</v>
      </c>
      <c r="D5" s="40">
        <v>335832</v>
      </c>
      <c r="E5" s="40">
        <v>335832</v>
      </c>
    </row>
    <row r="6" spans="1:5" ht="15.75" x14ac:dyDescent="0.25">
      <c r="A6" s="11" t="s">
        <v>106</v>
      </c>
      <c r="B6" s="7" t="s">
        <v>410</v>
      </c>
      <c r="C6" s="40">
        <v>42.8</v>
      </c>
      <c r="D6" s="40">
        <v>500</v>
      </c>
      <c r="E6" s="40">
        <v>500</v>
      </c>
    </row>
    <row r="7" spans="1:5" ht="16.5" thickBot="1" x14ac:dyDescent="0.3">
      <c r="A7" s="11" t="s">
        <v>228</v>
      </c>
      <c r="B7" s="7" t="s">
        <v>109</v>
      </c>
      <c r="C7" s="40">
        <v>0</v>
      </c>
      <c r="D7" s="40">
        <v>0</v>
      </c>
      <c r="E7" s="40">
        <v>0</v>
      </c>
    </row>
    <row r="8" spans="1:5" ht="17.25" thickTop="1" thickBot="1" x14ac:dyDescent="0.3">
      <c r="A8" s="6"/>
      <c r="B8" s="17" t="s">
        <v>6</v>
      </c>
      <c r="C8" s="41">
        <f>SUM(C5:C7)</f>
        <v>335874.2</v>
      </c>
      <c r="D8" s="41">
        <f>SUM(D5:D7)</f>
        <v>336332</v>
      </c>
      <c r="E8" s="41">
        <v>336332</v>
      </c>
    </row>
    <row r="9" spans="1:5" ht="16.5" thickTop="1" x14ac:dyDescent="0.25">
      <c r="A9" s="6"/>
      <c r="B9" s="10"/>
      <c r="C9" s="42"/>
      <c r="D9" s="42"/>
    </row>
    <row r="10" spans="1:5" ht="15.75" x14ac:dyDescent="0.25">
      <c r="A10" s="6"/>
      <c r="B10" s="10" t="s">
        <v>7</v>
      </c>
      <c r="C10" s="42"/>
      <c r="D10" s="42"/>
    </row>
    <row r="11" spans="1:5" ht="15.75" x14ac:dyDescent="0.25">
      <c r="A11" s="11" t="s">
        <v>246</v>
      </c>
      <c r="B11" s="7" t="s">
        <v>257</v>
      </c>
      <c r="C11" s="43">
        <v>42.8</v>
      </c>
      <c r="D11" s="43">
        <v>500</v>
      </c>
      <c r="E11" s="40">
        <v>500</v>
      </c>
    </row>
    <row r="12" spans="1:5" ht="15.75" x14ac:dyDescent="0.25">
      <c r="A12" s="11" t="s">
        <v>246</v>
      </c>
      <c r="B12" s="7" t="s">
        <v>418</v>
      </c>
      <c r="C12" s="43">
        <v>335831.4</v>
      </c>
      <c r="D12" s="43">
        <v>335832</v>
      </c>
      <c r="E12" s="40">
        <v>335832</v>
      </c>
    </row>
    <row r="13" spans="1:5" ht="16.5" thickBot="1" x14ac:dyDescent="0.3">
      <c r="A13" s="11" t="s">
        <v>282</v>
      </c>
      <c r="B13" s="7" t="s">
        <v>235</v>
      </c>
      <c r="C13" s="43">
        <v>0</v>
      </c>
      <c r="D13" s="43">
        <v>0</v>
      </c>
      <c r="E13" s="40">
        <v>0</v>
      </c>
    </row>
    <row r="14" spans="1:5" ht="17.25" thickTop="1" thickBot="1" x14ac:dyDescent="0.3">
      <c r="A14" s="6"/>
      <c r="B14" s="17" t="s">
        <v>51</v>
      </c>
      <c r="C14" s="51">
        <f>SUM(C11:C13)</f>
        <v>335874.2</v>
      </c>
      <c r="D14" s="51">
        <f>SUM(D11:D13)</f>
        <v>336332</v>
      </c>
      <c r="E14" s="51">
        <v>336332</v>
      </c>
    </row>
    <row r="15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2015 FINAL BUDGET&amp;C&amp;"Arial,Bold"EXHIBIT "A"&amp;RPAGE: &amp;P OF &amp;N</oddHeader>
    <oddFooter>&amp;L&amp;"Arial,Bold"GOVERNING BOARD MEETING DECEMBER 16,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County</vt:lpstr>
      <vt:lpstr>SA6</vt:lpstr>
      <vt:lpstr>SA7</vt:lpstr>
      <vt:lpstr>SA8</vt:lpstr>
      <vt:lpstr>SA9</vt:lpstr>
      <vt:lpstr>Soldier Summit</vt:lpstr>
      <vt:lpstr>County Road Dist</vt:lpstr>
      <vt:lpstr>MBA</vt:lpstr>
      <vt:lpstr>County!Print_Area</vt:lpstr>
      <vt:lpstr>'County Road Dist'!Print_Area</vt:lpstr>
      <vt:lpstr>MBA!Print_Area</vt:lpstr>
      <vt:lpstr>'SA6'!Print_Area</vt:lpstr>
      <vt:lpstr>'SA7'!Print_Area</vt:lpstr>
      <vt:lpstr>'SA8'!Print_Area</vt:lpstr>
      <vt:lpstr>'SA9'!Print_Area</vt:lpstr>
      <vt:lpstr>'Soldier Summit'!Print_Area</vt:lpstr>
      <vt:lpstr>County!Print_Titles</vt:lpstr>
      <vt:lpstr>'County Road Dist'!Print_Titles</vt:lpstr>
      <vt:lpstr>MBA!Print_Titles</vt:lpstr>
      <vt:lpstr>'SA6'!Print_Titles</vt:lpstr>
      <vt:lpstr>'SA7'!Print_Titles</vt:lpstr>
      <vt:lpstr>'SA8'!Print_Titles</vt:lpstr>
      <vt:lpstr>'SA9'!Print_Titles</vt:lpstr>
      <vt:lpstr>'Soldier Summit'!Print_Titles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Jeremy Walker</cp:lastModifiedBy>
  <cp:lastPrinted>2014-12-16T03:37:03Z</cp:lastPrinted>
  <dcterms:created xsi:type="dcterms:W3CDTF">2001-09-26T14:26:56Z</dcterms:created>
  <dcterms:modified xsi:type="dcterms:W3CDTF">2022-05-04T16:37:32Z</dcterms:modified>
</cp:coreProperties>
</file>