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eremyw\Desktop\"/>
    </mc:Choice>
  </mc:AlternateContent>
  <xr:revisionPtr revIDLastSave="0" documentId="8_{64B0FF31-9C45-4C70-A76A-7C2011EB108A}" xr6:coauthVersionLast="47" xr6:coauthVersionMax="47" xr10:uidLastSave="{00000000-0000-0000-0000-000000000000}"/>
  <bookViews>
    <workbookView xWindow="-105" yWindow="-18120" windowWidth="29040" windowHeight="17640" tabRatio="601" xr2:uid="{00000000-000D-0000-FFFF-FFFF00000000}"/>
  </bookViews>
  <sheets>
    <sheet name="County" sheetId="1" r:id="rId1"/>
    <sheet name="SA6" sheetId="5" r:id="rId2"/>
    <sheet name="SA7" sheetId="2" r:id="rId3"/>
    <sheet name="SA8" sheetId="3" r:id="rId4"/>
    <sheet name="SA9" sheetId="4" r:id="rId5"/>
    <sheet name="Soldier Summit" sheetId="8" r:id="rId6"/>
    <sheet name="County Road Dist" sheetId="9" r:id="rId7"/>
    <sheet name="MBA" sheetId="10" r:id="rId8"/>
  </sheets>
  <definedNames>
    <definedName name="_xlnm._FilterDatabase" localSheetId="0" hidden="1">County!#REF!</definedName>
    <definedName name="_xlnm._FilterDatabase" localSheetId="6" hidden="1">'County Road Dist'!#REF!</definedName>
    <definedName name="_xlnm._FilterDatabase" localSheetId="7" hidden="1">MBA!#REF!</definedName>
    <definedName name="_xlnm._FilterDatabase" localSheetId="1" hidden="1">'SA6'!#REF!</definedName>
    <definedName name="_xlnm._FilterDatabase" localSheetId="2" hidden="1">'SA7'!#REF!</definedName>
    <definedName name="_xlnm._FilterDatabase" localSheetId="3" hidden="1">'SA8'!#REF!</definedName>
    <definedName name="_xlnm._FilterDatabase" localSheetId="4" hidden="1">'SA9'!#REF!</definedName>
    <definedName name="_xlnm._FilterDatabase" localSheetId="5" hidden="1">'Soldier Summit'!#REF!</definedName>
    <definedName name="_xlnm.Print_Area" localSheetId="0">County!$A$1:$E$662</definedName>
    <definedName name="_xlnm.Print_Area" localSheetId="6">'County Road Dist'!$A$1:$E$16</definedName>
    <definedName name="_xlnm.Print_Area" localSheetId="7">MBA!$A$1:$E$14</definedName>
    <definedName name="_xlnm.Print_Area" localSheetId="1">'SA6'!$A$1:$E$15</definedName>
    <definedName name="_xlnm.Print_Area" localSheetId="2">'SA7'!$A$1:$E$19</definedName>
    <definedName name="_xlnm.Print_Area" localSheetId="3">'SA8'!$A$1:$E$15</definedName>
    <definedName name="_xlnm.Print_Area" localSheetId="4">'SA9'!$A$1:$E$15</definedName>
    <definedName name="_xlnm.Print_Area" localSheetId="5">'Soldier Summit'!$A$1:$E$19</definedName>
    <definedName name="_xlnm.Print_Titles" localSheetId="0">County!$1:$3</definedName>
    <definedName name="_xlnm.Print_Titles" localSheetId="6">'County Road Dist'!$1:$3</definedName>
    <definedName name="_xlnm.Print_Titles" localSheetId="7">MBA!$1:$3</definedName>
    <definedName name="_xlnm.Print_Titles" localSheetId="1">'SA6'!$1:$3</definedName>
    <definedName name="_xlnm.Print_Titles" localSheetId="2">'SA7'!$1:$3</definedName>
    <definedName name="_xlnm.Print_Titles" localSheetId="3">'SA8'!$1:$3</definedName>
    <definedName name="_xlnm.Print_Titles" localSheetId="4">'SA9'!$1:$3</definedName>
    <definedName name="_xlnm.Print_Titles" localSheetId="5">'Soldier Summit'!$1:$3</definedName>
    <definedName name="Z_9A0F58E2_86D1_4C31_B508_0A9EC0FD1CF8_.wvu.PrintArea" localSheetId="0" hidden="1">County!$A$1:$B$677</definedName>
    <definedName name="Z_9A0F58E2_86D1_4C31_B508_0A9EC0FD1CF8_.wvu.PrintArea" localSheetId="6" hidden="1">'County Road Dist'!$A$1:$B$16</definedName>
    <definedName name="Z_9A0F58E2_86D1_4C31_B508_0A9EC0FD1CF8_.wvu.PrintArea" localSheetId="7" hidden="1">MBA!$A$1:$C$14</definedName>
    <definedName name="Z_9A0F58E2_86D1_4C31_B508_0A9EC0FD1CF8_.wvu.PrintArea" localSheetId="1" hidden="1">'SA6'!$A$1:$B$15</definedName>
    <definedName name="Z_9A0F58E2_86D1_4C31_B508_0A9EC0FD1CF8_.wvu.PrintArea" localSheetId="2" hidden="1">'SA7'!$A$1:$B$19</definedName>
    <definedName name="Z_9A0F58E2_86D1_4C31_B508_0A9EC0FD1CF8_.wvu.PrintArea" localSheetId="3" hidden="1">'SA8'!$A$1:$B$15</definedName>
    <definedName name="Z_9A0F58E2_86D1_4C31_B508_0A9EC0FD1CF8_.wvu.PrintArea" localSheetId="4" hidden="1">'SA9'!$A$1:$B$15</definedName>
    <definedName name="Z_9A0F58E2_86D1_4C31_B508_0A9EC0FD1CF8_.wvu.PrintArea" localSheetId="5" hidden="1">'Soldier Summit'!$A$1:$B$19</definedName>
    <definedName name="Z_9A0F58E2_86D1_4C31_B508_0A9EC0FD1CF8_.wvu.PrintTitles" localSheetId="0" hidden="1">County!$1:$3</definedName>
    <definedName name="Z_9A0F58E2_86D1_4C31_B508_0A9EC0FD1CF8_.wvu.PrintTitles" localSheetId="6" hidden="1">'County Road Dist'!$1:$3</definedName>
    <definedName name="Z_9A0F58E2_86D1_4C31_B508_0A9EC0FD1CF8_.wvu.PrintTitles" localSheetId="7" hidden="1">MBA!$1:$3</definedName>
    <definedName name="Z_9A0F58E2_86D1_4C31_B508_0A9EC0FD1CF8_.wvu.PrintTitles" localSheetId="1" hidden="1">'SA6'!$1:$3</definedName>
    <definedName name="Z_9A0F58E2_86D1_4C31_B508_0A9EC0FD1CF8_.wvu.PrintTitles" localSheetId="2" hidden="1">'SA7'!$1:$3</definedName>
    <definedName name="Z_9A0F58E2_86D1_4C31_B508_0A9EC0FD1CF8_.wvu.PrintTitles" localSheetId="3" hidden="1">'SA8'!$1:$3</definedName>
    <definedName name="Z_9A0F58E2_86D1_4C31_B508_0A9EC0FD1CF8_.wvu.PrintTitles" localSheetId="4" hidden="1">'SA9'!$1:$3</definedName>
    <definedName name="Z_9A0F58E2_86D1_4C31_B508_0A9EC0FD1CF8_.wvu.PrintTitles" localSheetId="5" hidden="1">'Soldier Summit'!$1:$3</definedName>
  </definedNames>
  <calcPr calcId="191029"/>
  <customWorkbookViews>
    <customWorkbookView name="danenej - Personal View" guid="{9A0F58E2-86D1-4C31-B508-0A9EC0FD1CF8}" mergeInterval="0" personalView="1" maximized="1" windowWidth="1020" windowHeight="600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1" i="1" l="1"/>
  <c r="D651" i="1" l="1"/>
  <c r="D612" i="1"/>
  <c r="D584" i="1"/>
  <c r="D546" i="1"/>
  <c r="D497" i="1"/>
  <c r="D458" i="1"/>
  <c r="D453" i="1"/>
  <c r="D448" i="1"/>
  <c r="D443" i="1"/>
  <c r="D461" i="1"/>
  <c r="D411" i="1"/>
  <c r="D424" i="1"/>
  <c r="D413" i="1"/>
  <c r="D412" i="1"/>
  <c r="D408" i="1"/>
  <c r="D363" i="1"/>
  <c r="D309" i="1"/>
  <c r="D307" i="1"/>
  <c r="D301" i="1"/>
  <c r="D282" i="1"/>
  <c r="D262" i="1"/>
  <c r="D264" i="1"/>
  <c r="D240" i="1" l="1"/>
  <c r="D235" i="1"/>
  <c r="D210" i="1"/>
  <c r="D208" i="1"/>
  <c r="D100" i="1"/>
  <c r="D161" i="1" l="1"/>
  <c r="D160" i="1"/>
  <c r="D157" i="1"/>
  <c r="D149" i="1"/>
  <c r="D144" i="1"/>
  <c r="D139" i="1"/>
  <c r="D132" i="1"/>
  <c r="D127" i="1"/>
  <c r="D125" i="1"/>
  <c r="D126" i="1"/>
  <c r="D124" i="1"/>
  <c r="D121" i="1"/>
  <c r="D120" i="1"/>
  <c r="D119" i="1" s="1"/>
  <c r="D118" i="1"/>
  <c r="D115" i="1"/>
  <c r="D113" i="1"/>
  <c r="D114" i="1"/>
  <c r="D112" i="1"/>
  <c r="D108" i="1"/>
  <c r="D107" i="1"/>
  <c r="D103" i="1"/>
  <c r="D91" i="1" l="1"/>
  <c r="D90" i="1"/>
  <c r="D86" i="1"/>
  <c r="D81" i="1"/>
  <c r="D79" i="1"/>
  <c r="D76" i="1"/>
  <c r="D71" i="1"/>
  <c r="D66" i="1"/>
  <c r="D61" i="1"/>
  <c r="D56" i="1"/>
  <c r="D225" i="1" l="1"/>
  <c r="D224" i="1"/>
  <c r="D223" i="1"/>
  <c r="D220" i="1"/>
  <c r="D219" i="1"/>
  <c r="D218" i="1"/>
  <c r="D215" i="1"/>
  <c r="D214" i="1"/>
  <c r="D213" i="1"/>
  <c r="D136" i="1" l="1"/>
  <c r="D60" i="1"/>
  <c r="C651" i="1" l="1"/>
  <c r="C631" i="1"/>
  <c r="C547" i="1"/>
  <c r="C546" i="1" s="1"/>
  <c r="C520" i="1"/>
  <c r="C529" i="1"/>
  <c r="D296" i="1"/>
  <c r="C326" i="1"/>
  <c r="D373" i="1"/>
  <c r="D368" i="1"/>
  <c r="D358" i="1"/>
  <c r="C373" i="1"/>
  <c r="C368" i="1"/>
  <c r="C363" i="1"/>
  <c r="C356" i="1"/>
  <c r="C358" i="1" s="1"/>
  <c r="D457" i="1" l="1"/>
  <c r="C458" i="1"/>
  <c r="C453" i="1"/>
  <c r="C448" i="1"/>
  <c r="C443" i="1"/>
  <c r="C434" i="1"/>
  <c r="C424" i="1"/>
  <c r="C411" i="1"/>
  <c r="C408" i="1"/>
  <c r="C410" i="1" s="1"/>
  <c r="D410" i="1" l="1"/>
  <c r="C491" i="1"/>
  <c r="C486" i="1"/>
  <c r="C273" i="1"/>
  <c r="C266" i="1"/>
  <c r="D242" i="1"/>
  <c r="D237" i="1"/>
  <c r="D227" i="1"/>
  <c r="D222" i="1"/>
  <c r="D217" i="1"/>
  <c r="D232" i="1"/>
  <c r="C240" i="1"/>
  <c r="C242" i="1" s="1"/>
  <c r="C235" i="1"/>
  <c r="C237" i="1" s="1"/>
  <c r="C232" i="1"/>
  <c r="C225" i="1"/>
  <c r="C227" i="1" s="1"/>
  <c r="C220" i="1"/>
  <c r="C222" i="1" s="1"/>
  <c r="C217" i="1"/>
  <c r="C210" i="1"/>
  <c r="C212" i="1" s="1"/>
  <c r="C186" i="1"/>
  <c r="D266" i="1" l="1"/>
  <c r="D212" i="1"/>
  <c r="D159" i="1"/>
  <c r="D151" i="1"/>
  <c r="D146" i="1"/>
  <c r="D141" i="1"/>
  <c r="D134" i="1"/>
  <c r="D110" i="1"/>
  <c r="D105" i="1"/>
  <c r="D98" i="1"/>
  <c r="D93" i="1"/>
  <c r="D88" i="1"/>
  <c r="D83" i="1"/>
  <c r="D78" i="1"/>
  <c r="D73" i="1"/>
  <c r="D68" i="1"/>
  <c r="D63" i="1"/>
  <c r="D58" i="1"/>
  <c r="D129" i="1" l="1"/>
  <c r="D117" i="1"/>
  <c r="D123" i="1"/>
  <c r="C127" i="1"/>
  <c r="C125" i="1"/>
  <c r="C119" i="1"/>
  <c r="C115" i="1"/>
  <c r="C113" i="1"/>
  <c r="C33" i="1"/>
  <c r="D275" i="1" l="1"/>
  <c r="D375" i="1" l="1"/>
  <c r="D463" i="1" l="1"/>
  <c r="D460" i="1" l="1"/>
  <c r="D455" i="1"/>
  <c r="C460" i="1"/>
  <c r="C455" i="1"/>
  <c r="C450" i="1"/>
  <c r="C445" i="1"/>
  <c r="D450" i="1" l="1"/>
  <c r="D445" i="1"/>
  <c r="D162" i="1" l="1"/>
  <c r="C162" i="1"/>
  <c r="C159" i="1"/>
  <c r="D154" i="1"/>
  <c r="C154" i="1"/>
  <c r="C151" i="1"/>
  <c r="C146" i="1"/>
  <c r="C141" i="1"/>
  <c r="C136" i="1"/>
  <c r="C134" i="1"/>
  <c r="C129" i="1"/>
  <c r="C123" i="1"/>
  <c r="C117" i="1"/>
  <c r="C110" i="1"/>
  <c r="C105" i="1"/>
  <c r="C100" i="1"/>
  <c r="C98" i="1"/>
  <c r="C93" i="1"/>
  <c r="C88" i="1"/>
  <c r="C83" i="1"/>
  <c r="C78" i="1"/>
  <c r="C73" i="1"/>
  <c r="C68" i="1"/>
  <c r="C63" i="1"/>
  <c r="C58" i="1"/>
  <c r="D647" i="1" l="1"/>
  <c r="C647" i="1"/>
  <c r="C658" i="1"/>
  <c r="D616" i="1"/>
  <c r="C594" i="1"/>
  <c r="D550" i="1"/>
  <c r="D329" i="1"/>
  <c r="D195" i="1"/>
  <c r="D19" i="2"/>
  <c r="C9" i="5"/>
  <c r="C501" i="1"/>
  <c r="C471" i="1"/>
  <c r="C478" i="1" s="1"/>
  <c r="C438" i="1"/>
  <c r="C462" i="1" s="1"/>
  <c r="C403" i="1"/>
  <c r="C420" i="1" s="1"/>
  <c r="C336" i="1"/>
  <c r="C187" i="1"/>
  <c r="D18" i="8"/>
  <c r="D10" i="8"/>
  <c r="C50" i="1"/>
  <c r="C627" i="1"/>
  <c r="C635" i="1"/>
  <c r="C608" i="1"/>
  <c r="C616" i="1"/>
  <c r="C586" i="1"/>
  <c r="C562" i="1"/>
  <c r="C573" i="1"/>
  <c r="C542" i="1"/>
  <c r="C550" i="1"/>
  <c r="C9" i="3"/>
  <c r="D50" i="1"/>
  <c r="D342" i="1"/>
  <c r="D391" i="1"/>
  <c r="D479" i="1"/>
  <c r="D501" i="1"/>
  <c r="D573" i="1"/>
  <c r="D594" i="1"/>
  <c r="D635" i="1"/>
  <c r="C18" i="8"/>
  <c r="C9" i="8" s="1"/>
  <c r="C10" i="8" s="1"/>
  <c r="D187" i="1"/>
  <c r="D205" i="1"/>
  <c r="D260" i="1"/>
  <c r="D299" i="1"/>
  <c r="D323" i="1"/>
  <c r="D336" i="1"/>
  <c r="D351" i="1"/>
  <c r="D383" i="1"/>
  <c r="D403" i="1"/>
  <c r="D438" i="1"/>
  <c r="D471" i="1"/>
  <c r="D493" i="1"/>
  <c r="D517" i="1"/>
  <c r="D542" i="1"/>
  <c r="D562" i="1"/>
  <c r="D586" i="1"/>
  <c r="D608" i="1"/>
  <c r="D627" i="1"/>
  <c r="D313" i="1"/>
  <c r="C16" i="9"/>
  <c r="C7" i="9" s="1"/>
  <c r="C8" i="9" s="1"/>
  <c r="C534" i="1"/>
  <c r="C493" i="1"/>
  <c r="C391" i="1"/>
  <c r="C382" i="1" s="1"/>
  <c r="C351" i="1"/>
  <c r="C205" i="1"/>
  <c r="C8" i="10"/>
  <c r="D8" i="10"/>
  <c r="C14" i="10"/>
  <c r="D14" i="10"/>
  <c r="D8" i="9"/>
  <c r="D16" i="9"/>
  <c r="D9" i="4"/>
  <c r="C15" i="4"/>
  <c r="C8" i="4" s="1"/>
  <c r="C9" i="4" s="1"/>
  <c r="D15" i="4"/>
  <c r="D9" i="3"/>
  <c r="D15" i="3"/>
  <c r="C11" i="2"/>
  <c r="C17" i="2" s="1"/>
  <c r="C19" i="2" s="1"/>
  <c r="D11" i="2"/>
  <c r="D9" i="5"/>
  <c r="D15" i="5"/>
  <c r="C14" i="5" l="1"/>
  <c r="C15" i="5" s="1"/>
  <c r="C578" i="1"/>
  <c r="C341" i="1"/>
  <c r="C342" i="1" s="1"/>
  <c r="C516" i="1"/>
  <c r="D578" i="1"/>
  <c r="C383" i="1"/>
  <c r="C479" i="1"/>
  <c r="C243" i="1"/>
  <c r="C425" i="1"/>
  <c r="C14" i="3"/>
  <c r="C15" i="3" s="1"/>
  <c r="C175" i="1"/>
  <c r="C517" i="1"/>
  <c r="D534" i="1"/>
  <c r="C260" i="1"/>
  <c r="C274" i="1" s="1"/>
  <c r="C299" i="1"/>
  <c r="C329" i="1"/>
  <c r="C322" i="1" s="1"/>
  <c r="C463" i="1"/>
  <c r="D425" i="1"/>
  <c r="D639" i="1"/>
  <c r="C619" i="1"/>
  <c r="C554" i="1"/>
  <c r="C313" i="1"/>
  <c r="D658" i="1"/>
  <c r="D662" i="1" s="1"/>
  <c r="C600" i="1"/>
  <c r="D554" i="1"/>
  <c r="D619" i="1"/>
  <c r="C639" i="1"/>
  <c r="D600" i="1"/>
  <c r="C662" i="1"/>
  <c r="C323" i="1" l="1"/>
  <c r="C275" i="1"/>
  <c r="C177" i="1"/>
  <c r="C244" i="1" l="1"/>
  <c r="D244" i="1" l="1"/>
  <c r="D175" i="1" l="1"/>
  <c r="D177" i="1" s="1"/>
  <c r="C375" i="1"/>
</calcChain>
</file>

<file path=xl/sharedStrings.xml><?xml version="1.0" encoding="utf-8"?>
<sst xmlns="http://schemas.openxmlformats.org/spreadsheetml/2006/main" count="1175" uniqueCount="530">
  <si>
    <t>UTAH COUNTY</t>
  </si>
  <si>
    <t>BUDGET</t>
  </si>
  <si>
    <t>Revenues:</t>
  </si>
  <si>
    <t>RECORDER FEES</t>
  </si>
  <si>
    <t>AUDITOR MISC FEES</t>
  </si>
  <si>
    <t>SALE OF FIXED ASSETS</t>
  </si>
  <si>
    <t>Total Revenues:</t>
  </si>
  <si>
    <t>Expenditures:</t>
  </si>
  <si>
    <t xml:space="preserve"> </t>
  </si>
  <si>
    <t>FEDERAL PAYMENT IN LIEU</t>
  </si>
  <si>
    <t>34120-2000</t>
  </si>
  <si>
    <t>34160-1000</t>
  </si>
  <si>
    <t>34160-2000</t>
  </si>
  <si>
    <t>CLERK SERVICES FEES</t>
  </si>
  <si>
    <t>CLERK PASSPORT FEES</t>
  </si>
  <si>
    <t>34160-3000</t>
  </si>
  <si>
    <t>34160-4000</t>
  </si>
  <si>
    <t>CLERK ELECTION FEES</t>
  </si>
  <si>
    <t>ASSESSOR FEES</t>
  </si>
  <si>
    <t>PW/PARKS SERVICE FEES</t>
  </si>
  <si>
    <t>GENERAL FUND (100)</t>
  </si>
  <si>
    <t>COMMISSION</t>
  </si>
  <si>
    <t>41110</t>
  </si>
  <si>
    <t>JUSTICE COURT</t>
  </si>
  <si>
    <t>41220</t>
  </si>
  <si>
    <t>PERSONNEL</t>
  </si>
  <si>
    <t>41340</t>
  </si>
  <si>
    <t>41370</t>
  </si>
  <si>
    <t>41410</t>
  </si>
  <si>
    <t>41411</t>
  </si>
  <si>
    <t>41430</t>
  </si>
  <si>
    <t>TREASURER</t>
  </si>
  <si>
    <t>41440</t>
  </si>
  <si>
    <t>RECORDER</t>
  </si>
  <si>
    <t>ATTORNEY</t>
  </si>
  <si>
    <t>41460</t>
  </si>
  <si>
    <t>ASSESSOR</t>
  </si>
  <si>
    <t>41500</t>
  </si>
  <si>
    <t>NON DEPARTMENTAL</t>
  </si>
  <si>
    <t>41550</t>
  </si>
  <si>
    <t>INTERAGENCY ALLOCATION</t>
  </si>
  <si>
    <t>41700</t>
  </si>
  <si>
    <t>ELECTIONS</t>
  </si>
  <si>
    <t>43900</t>
  </si>
  <si>
    <t>44110</t>
  </si>
  <si>
    <t>45100</t>
  </si>
  <si>
    <t>45910</t>
  </si>
  <si>
    <t>EXTENSION</t>
  </si>
  <si>
    <t>45920</t>
  </si>
  <si>
    <t>AGRICULTURE</t>
  </si>
  <si>
    <t>Total Expenditures:</t>
  </si>
  <si>
    <t>ADMINISTRATION</t>
  </si>
  <si>
    <t>43350</t>
  </si>
  <si>
    <t>HEALTH DEPARTMENT (230)</t>
  </si>
  <si>
    <t>43100</t>
  </si>
  <si>
    <t>43110</t>
  </si>
  <si>
    <t>ENVIRONMENTAL</t>
  </si>
  <si>
    <t>43120</t>
  </si>
  <si>
    <t>43130</t>
  </si>
  <si>
    <t>43140</t>
  </si>
  <si>
    <t>43150</t>
  </si>
  <si>
    <t>W.I.C.</t>
  </si>
  <si>
    <t>49201-9100</t>
  </si>
  <si>
    <t>49211</t>
  </si>
  <si>
    <t>49221-9100</t>
  </si>
  <si>
    <t>49231-9100</t>
  </si>
  <si>
    <t>42250</t>
  </si>
  <si>
    <t>CHILD JUSTICE (250)</t>
  </si>
  <si>
    <t>45810</t>
  </si>
  <si>
    <t>45820</t>
  </si>
  <si>
    <t>FOSTER GRANDPARENTS</t>
  </si>
  <si>
    <t>SENIOR COMPANIONS</t>
  </si>
  <si>
    <t>42730</t>
  </si>
  <si>
    <t>31351-0</t>
  </si>
  <si>
    <t>45601</t>
  </si>
  <si>
    <t>RESTAURANT TAX</t>
  </si>
  <si>
    <t>BOOKMOBILE</t>
  </si>
  <si>
    <t>45620-9100</t>
  </si>
  <si>
    <t>47120</t>
  </si>
  <si>
    <t>CAPITAL PROJECTS (400)</t>
  </si>
  <si>
    <t>Operating Revenues:</t>
  </si>
  <si>
    <t>SALARY &amp; WAGES</t>
  </si>
  <si>
    <t>MATERIALS &amp; SUPPLIES</t>
  </si>
  <si>
    <t>Operating Expenditures:</t>
  </si>
  <si>
    <t>Total Operating Expenditures:</t>
  </si>
  <si>
    <t>Non-Operating Funding:</t>
  </si>
  <si>
    <t>Total Cash Funding Requirements:</t>
  </si>
  <si>
    <t>MOTOR POOL (610)</t>
  </si>
  <si>
    <t>Total Operating Revenues:</t>
  </si>
  <si>
    <t>OPERATING EXPENSES</t>
  </si>
  <si>
    <t>DEPRECIATION EXPENSE</t>
  </si>
  <si>
    <t>JAIL FOOD SERVICES (620)</t>
  </si>
  <si>
    <t>39562-1000</t>
  </si>
  <si>
    <t>39562-2000</t>
  </si>
  <si>
    <t>42620-1XXX</t>
  </si>
  <si>
    <t>42620</t>
  </si>
  <si>
    <t>BUILDING MAINTENANCE (630)</t>
  </si>
  <si>
    <t>44630-1XXX</t>
  </si>
  <si>
    <t>44630-9800</t>
  </si>
  <si>
    <t>TELECOMMUNICATION (640)</t>
  </si>
  <si>
    <t>44640-1XXX</t>
  </si>
  <si>
    <t>CAPITAL</t>
  </si>
  <si>
    <t>42620-7410</t>
  </si>
  <si>
    <t>RADIO COMMUNICATION (650)</t>
  </si>
  <si>
    <t>ACTUAL</t>
  </si>
  <si>
    <t>38100</t>
  </si>
  <si>
    <t>COMPUTER SUPPORT (670)</t>
  </si>
  <si>
    <t>INCARCERATION SURCHARGE</t>
  </si>
  <si>
    <t>APPROPRIATED FUND BALANCE</t>
  </si>
  <si>
    <t>RECORDS MANAGEMENT</t>
  </si>
  <si>
    <t>TRANSFER TO FD 230 (HEALTH DEPT)</t>
  </si>
  <si>
    <t>TRANSFER TO FD 250 (CHILDREN'S JUSTICE)</t>
  </si>
  <si>
    <t>32160</t>
  </si>
  <si>
    <t>BUSINESS LICENSES</t>
  </si>
  <si>
    <t>33XXX</t>
  </si>
  <si>
    <t>INTERGOVERNMENTAL REVENUE (GRANTS)</t>
  </si>
  <si>
    <t>34XXX</t>
  </si>
  <si>
    <t>CHARGES FOR SERVICES</t>
  </si>
  <si>
    <t>36XXX</t>
  </si>
  <si>
    <t>MISCELLANEOUS REVENUE</t>
  </si>
  <si>
    <t>TRANSFER FROM FD 100 (GENERAL)</t>
  </si>
  <si>
    <t>TRANSFER FROM FD 630 (BLDG MAINT)</t>
  </si>
  <si>
    <t>INTERGOVERNMENTAL REVENUE</t>
  </si>
  <si>
    <t>MOTOR VEHICLE SHORT-TERM LEASE TAX</t>
  </si>
  <si>
    <t>UVCVB</t>
  </si>
  <si>
    <t>45620-3100</t>
  </si>
  <si>
    <t>31XXX</t>
  </si>
  <si>
    <t>TAXES</t>
  </si>
  <si>
    <t>TRANSFER TO FD 100 (GENERAL)</t>
  </si>
  <si>
    <t>49241-4200</t>
  </si>
  <si>
    <t>44700-7012</t>
  </si>
  <si>
    <t>SECURITY PROJECTS</t>
  </si>
  <si>
    <t>44700-7013</t>
  </si>
  <si>
    <t>ADMINISTRATION PROJECTS</t>
  </si>
  <si>
    <t>44700-7014</t>
  </si>
  <si>
    <t>HEALTH &amp; JUSTICE PROJECTS</t>
  </si>
  <si>
    <t>44700-7015</t>
  </si>
  <si>
    <t>COURTHOUSE PROJECTS</t>
  </si>
  <si>
    <t>44700-7016</t>
  </si>
  <si>
    <t>44700-7017</t>
  </si>
  <si>
    <t>39XXX</t>
  </si>
  <si>
    <t>INTRAGOVERNMENTAL REVENUE</t>
  </si>
  <si>
    <t>INTRAGOVERNMENTAL REVENUE (JAIL)</t>
  </si>
  <si>
    <t>INTRAGOVERNMENTAL REVENUE (WASATCH)</t>
  </si>
  <si>
    <t>44650-1XXX</t>
  </si>
  <si>
    <t>41670-1XXX</t>
  </si>
  <si>
    <t>44630-9100</t>
  </si>
  <si>
    <t>44640-9800</t>
  </si>
  <si>
    <t>TRANSFER FROM FD 620 (KITCHEN)</t>
  </si>
  <si>
    <t>44610-9800</t>
  </si>
  <si>
    <t>42620-9800</t>
  </si>
  <si>
    <t>42620-9200</t>
  </si>
  <si>
    <t>44650-9800</t>
  </si>
  <si>
    <t>SALARY &amp; WAGES (SUPPORT)</t>
  </si>
  <si>
    <t>MATERIALS &amp; SUPPLIES (SUPPORT)</t>
  </si>
  <si>
    <t>41671-1XXX</t>
  </si>
  <si>
    <t>41671</t>
  </si>
  <si>
    <t>SALARY &amp; WAGES (PROGRAMMING)</t>
  </si>
  <si>
    <t>MATERIALS &amp; SUPPLIES (PROGRAMMING)</t>
  </si>
  <si>
    <t>41670-9800</t>
  </si>
  <si>
    <t>41671-7410</t>
  </si>
  <si>
    <t>CAPITAL (SUPPORT)</t>
  </si>
  <si>
    <t>CAPITAL (PROGRAMMING)</t>
  </si>
  <si>
    <t>43350-9200</t>
  </si>
  <si>
    <t>45601-3100</t>
  </si>
  <si>
    <t>LOCAL OPTION SALES TAX</t>
  </si>
  <si>
    <t>COUNTY OPTION SALES TAX</t>
  </si>
  <si>
    <t>TRANSFER TO FD 391 (REVENUE BOND DEBT SERV)</t>
  </si>
  <si>
    <t>COMMUNITY HEALTH SERVICES</t>
  </si>
  <si>
    <t>HEALTH PROMOTION</t>
  </si>
  <si>
    <t>45620-9200</t>
  </si>
  <si>
    <t>ASSESSING &amp; COLLECTING (290)</t>
  </si>
  <si>
    <t>41461-9200</t>
  </si>
  <si>
    <t>49211-9200</t>
  </si>
  <si>
    <t>GENERAL OBLIGATION DEBT SERV (390)</t>
  </si>
  <si>
    <t>REVENUE BOND DEBT SERVICE (391)</t>
  </si>
  <si>
    <t>OTHER EXPENDITURES</t>
  </si>
  <si>
    <t>45601-9200</t>
  </si>
  <si>
    <t>44610-1XXX</t>
  </si>
  <si>
    <t>38700</t>
  </si>
  <si>
    <t>MARRIAGE LICENSES</t>
  </si>
  <si>
    <t>TRANSIENT ROOM TAX (280)</t>
  </si>
  <si>
    <t>TRCC TAXES (281)</t>
  </si>
  <si>
    <t>45620</t>
  </si>
  <si>
    <t>ICE SHEET</t>
  </si>
  <si>
    <t>PROPERTY TAXES</t>
  </si>
  <si>
    <t>PROPERTY TAXES - ASSESSING &amp; COLLECTING</t>
  </si>
  <si>
    <t>APPROPRIATED UNDESIGNATED FUND BALANCE</t>
  </si>
  <si>
    <t>31360</t>
  </si>
  <si>
    <t>CONTRIBUTIONS FROM PRIVATE SOURCES</t>
  </si>
  <si>
    <t>TRANSIENT ROOM TAX (3%)</t>
  </si>
  <si>
    <t>31351-1000</t>
  </si>
  <si>
    <t>TRANSIENT ROOM TAX (1.25%)</t>
  </si>
  <si>
    <t>48300-9100</t>
  </si>
  <si>
    <t>48300-9200</t>
  </si>
  <si>
    <t>APPROPRIATION OF FUND BALANCE FOR OTHER EXP</t>
  </si>
  <si>
    <t>COMMISSION FEES</t>
  </si>
  <si>
    <t>41412</t>
  </si>
  <si>
    <t>TAX ADMINISTRATION</t>
  </si>
  <si>
    <t>AUDITOR</t>
  </si>
  <si>
    <t>CLERK</t>
  </si>
  <si>
    <t>45622</t>
  </si>
  <si>
    <t>UTAH COUNTY FAIR</t>
  </si>
  <si>
    <t>4461X</t>
  </si>
  <si>
    <t>4461X-74XX</t>
  </si>
  <si>
    <t>42621-1XXX</t>
  </si>
  <si>
    <t>SALARY &amp; WAGES - MEALS ON WHEELS</t>
  </si>
  <si>
    <t>MATERIALS &amp; SUPPLIES - MEALS ON WHEELS</t>
  </si>
  <si>
    <t>CAPITAL - MEALS ON WHEELS</t>
  </si>
  <si>
    <t>42621</t>
  </si>
  <si>
    <t>42621-7410</t>
  </si>
  <si>
    <t>4463X</t>
  </si>
  <si>
    <t>4463X-7410</t>
  </si>
  <si>
    <t>4464X</t>
  </si>
  <si>
    <t>4464X-7410</t>
  </si>
  <si>
    <t>4465X</t>
  </si>
  <si>
    <t>4465X-7410</t>
  </si>
  <si>
    <t>4167X-7410</t>
  </si>
  <si>
    <t>4167X</t>
  </si>
  <si>
    <t>49221-9200</t>
  </si>
  <si>
    <t>44611-9200</t>
  </si>
  <si>
    <t>42620-9100</t>
  </si>
  <si>
    <t>44631-9200</t>
  </si>
  <si>
    <t>44641-9200</t>
  </si>
  <si>
    <t>44651-9200</t>
  </si>
  <si>
    <t>41672-9200</t>
  </si>
  <si>
    <t>38900</t>
  </si>
  <si>
    <t>TRANSFER TO UTAH COUNTY GOVT (FUND 100)</t>
  </si>
  <si>
    <t>TRANSFER FROM SPECIAL SERVICE AREA 9 (FD 244)</t>
  </si>
  <si>
    <t>49211-1XXX</t>
  </si>
  <si>
    <t>49211-7410</t>
  </si>
  <si>
    <t>SALARIES AND BENEFITS</t>
  </si>
  <si>
    <t>CAPITAL OUTLAY</t>
  </si>
  <si>
    <t>CONTRIBUTION TO FUND BALANCE</t>
  </si>
  <si>
    <t>UTAH COUNTY SERVICE AREA NO. 7</t>
  </si>
  <si>
    <t>UTAH COUNTY SERVICE AREA NO. 6</t>
  </si>
  <si>
    <t>UTAH COUNTY SERVICE AREA NO. 8</t>
  </si>
  <si>
    <t>TRANSFER TO UTAH COUNTY GOVT (FD 100)</t>
  </si>
  <si>
    <t>UTAH COUNTY SERVICE AREA NO. 9</t>
  </si>
  <si>
    <t>TRANSFER TO SERVICE AREA 7 (GENERAL FD)</t>
  </si>
  <si>
    <t>44130</t>
  </si>
  <si>
    <t>44500</t>
  </si>
  <si>
    <t>44550</t>
  </si>
  <si>
    <t>SOLDIER SUMMIT SPECIAL SERV DIST</t>
  </si>
  <si>
    <t>49251</t>
  </si>
  <si>
    <t>44131</t>
  </si>
  <si>
    <t>421XX/42530</t>
  </si>
  <si>
    <t>423XX</t>
  </si>
  <si>
    <t>PW/ENGINEERING FEES</t>
  </si>
  <si>
    <t>4145X</t>
  </si>
  <si>
    <t>49241-9100</t>
  </si>
  <si>
    <t>SPECIAL ROAD PROJECTS</t>
  </si>
  <si>
    <t>TRANSFER FROM FD 247 (PUBLIC TRANSPORTATION)</t>
  </si>
  <si>
    <t>3870X</t>
  </si>
  <si>
    <t>49231</t>
  </si>
  <si>
    <t>MATERIALS, SUPPLIES, AND SERVICES</t>
  </si>
  <si>
    <t>49231-9200</t>
  </si>
  <si>
    <t>49221</t>
  </si>
  <si>
    <t>49201</t>
  </si>
  <si>
    <t>43100-9200</t>
  </si>
  <si>
    <t>31352</t>
  </si>
  <si>
    <t>31353</t>
  </si>
  <si>
    <t>36401</t>
  </si>
  <si>
    <t>31300</t>
  </si>
  <si>
    <t>31350</t>
  </si>
  <si>
    <t>32220</t>
  </si>
  <si>
    <t>33231</t>
  </si>
  <si>
    <t>33300</t>
  </si>
  <si>
    <t>34110</t>
  </si>
  <si>
    <t>34170</t>
  </si>
  <si>
    <t>34409</t>
  </si>
  <si>
    <t>34451</t>
  </si>
  <si>
    <t>35102</t>
  </si>
  <si>
    <t>35103</t>
  </si>
  <si>
    <t>35220</t>
  </si>
  <si>
    <t>31XXX-1000</t>
  </si>
  <si>
    <t>TRANSFER TO FD 391 (CONVENTION CTR BOND PMT)</t>
  </si>
  <si>
    <t>47120-9200</t>
  </si>
  <si>
    <t>47121-9200</t>
  </si>
  <si>
    <t>49251-9200</t>
  </si>
  <si>
    <t>31420</t>
  </si>
  <si>
    <t>34181</t>
  </si>
  <si>
    <t>TREASURER FEES</t>
  </si>
  <si>
    <t>OUTSIDE DONATIONS</t>
  </si>
  <si>
    <t>PUBLIC WORKS / ADMINISTRATION</t>
  </si>
  <si>
    <t>SHERIFF / ENFORCEMENT</t>
  </si>
  <si>
    <t>SHERIFF / CORRECTIONS</t>
  </si>
  <si>
    <t>PUBLIC WORKS / ENGINEERING</t>
  </si>
  <si>
    <t>TRANSFER FROM FD 241 (SERV AREA 6 / SHERIFF)</t>
  </si>
  <si>
    <t>TRANSFER FROM FD 243 (SERV AREA 8 / PLANNING)</t>
  </si>
  <si>
    <t>MOTOR VEHICLE REGISTRATION FEE</t>
  </si>
  <si>
    <t>44160</t>
  </si>
  <si>
    <t>44161</t>
  </si>
  <si>
    <t>44162</t>
  </si>
  <si>
    <t>REGISTRATION FEE ROAD PROJECTS</t>
  </si>
  <si>
    <t>44163</t>
  </si>
  <si>
    <t>4416X-9100</t>
  </si>
  <si>
    <t>4416X-9200</t>
  </si>
  <si>
    <t>42250-9200</t>
  </si>
  <si>
    <t>42730-9200</t>
  </si>
  <si>
    <t>45601-9100</t>
  </si>
  <si>
    <t>MATERIALS, SERVICES, AND SUPPLIES</t>
  </si>
  <si>
    <t>GRANTS/CONTRIBUTIONS TO OUTSIDE AGENCIES</t>
  </si>
  <si>
    <t>TRANSFER FROM FD 280 (TRT)</t>
  </si>
  <si>
    <t>UTAH VALLEY CONVENTION CENTER</t>
  </si>
  <si>
    <t>44700-7019</t>
  </si>
  <si>
    <t>44700-7020</t>
  </si>
  <si>
    <t>ENERGY IMPROVEMENTS</t>
  </si>
  <si>
    <t>TRANSFER TO FD 400 (CAPITAL PROJECTS)</t>
  </si>
  <si>
    <t>TRANSFER TO FD 391 (REVENUE BOND PMT)</t>
  </si>
  <si>
    <t>SURVEYOR</t>
  </si>
  <si>
    <t>49201-9200</t>
  </si>
  <si>
    <t>GIS &amp; MAPPING</t>
  </si>
  <si>
    <t>44650-9100</t>
  </si>
  <si>
    <t>MAPPING FEES</t>
  </si>
  <si>
    <t>CURRENT</t>
  </si>
  <si>
    <t>49241-9200</t>
  </si>
  <si>
    <t>OF UTAH COUNTY</t>
  </si>
  <si>
    <t>MUNICIPAL BUILDING AUTHORITY</t>
  </si>
  <si>
    <t>34111</t>
  </si>
  <si>
    <t>PERSONNEL FEES</t>
  </si>
  <si>
    <t>JUSTICE COURT FEES</t>
  </si>
  <si>
    <t>SURVEYOR FEES</t>
  </si>
  <si>
    <t>41362</t>
  </si>
  <si>
    <t>418XX</t>
  </si>
  <si>
    <t>COMMUNITY DEVELOPMENT</t>
  </si>
  <si>
    <t>ATTORNEY'S OFFICE GRANT EXPENDITURES</t>
  </si>
  <si>
    <t>SHERIFF'S OFFICE GRANT EXPENDITURES</t>
  </si>
  <si>
    <t>41120</t>
  </si>
  <si>
    <t>CDBG EXPENDITURES</t>
  </si>
  <si>
    <t>33401</t>
  </si>
  <si>
    <t>ROAD PROJECTS (247)</t>
  </si>
  <si>
    <t>"B" ROAD FUND ALLOTMENT</t>
  </si>
  <si>
    <t>GRANTS / OUTSIDE PROJECTS (248)</t>
  </si>
  <si>
    <t>PUBLIC WORKS PROJECTS</t>
  </si>
  <si>
    <t>32210</t>
  </si>
  <si>
    <t>BUILDING PERMITS</t>
  </si>
  <si>
    <t>34120</t>
  </si>
  <si>
    <t>INTERGOVERNMENTAL REVENUE (ATTORNEY)</t>
  </si>
  <si>
    <t>INTERGOVERNMENTAL REVENUE (JUSTICE COURT)</t>
  </si>
  <si>
    <t>INTERGOVERNMENTAL REVENUE (PUBLIC WORKS)</t>
  </si>
  <si>
    <t>"B" ROAD PROJECTS</t>
  </si>
  <si>
    <t>34112</t>
  </si>
  <si>
    <t>PUBLIC DEFENDER RECOUPMENT</t>
  </si>
  <si>
    <t>MICROFILM RECORDS FEES</t>
  </si>
  <si>
    <t>3414X</t>
  </si>
  <si>
    <t>COMMUNITY DEVELOPMENT FEES</t>
  </si>
  <si>
    <t>34150</t>
  </si>
  <si>
    <t>34190</t>
  </si>
  <si>
    <t>34191</t>
  </si>
  <si>
    <t>ATTORNEY FEES (PROSECUTION)</t>
  </si>
  <si>
    <t>34192</t>
  </si>
  <si>
    <t>ATTORNEY FEES (CIVIL)</t>
  </si>
  <si>
    <t>SHERIFF WILDLAND FIRE FEES</t>
  </si>
  <si>
    <t>SHERIFF CORRECTIONS FEES</t>
  </si>
  <si>
    <t>343XX</t>
  </si>
  <si>
    <t>HEALTH / MOSQUITO ABATEMENT</t>
  </si>
  <si>
    <t>LAW ENFORCEMENT (274)</t>
  </si>
  <si>
    <t>33160</t>
  </si>
  <si>
    <t>EXTENSION GRANTS</t>
  </si>
  <si>
    <t>SHERIFF CORRECTIONS GRANTS</t>
  </si>
  <si>
    <t>SHERIFF ENFORCEMENT FEES</t>
  </si>
  <si>
    <t>342XX</t>
  </si>
  <si>
    <t>3521X</t>
  </si>
  <si>
    <t>JUSTICE COURT FINES</t>
  </si>
  <si>
    <t>COMMUNITY DEVELOPMENT FINES &amp; FORFEITURES</t>
  </si>
  <si>
    <t>32XXX</t>
  </si>
  <si>
    <t>LICENSES AND PERMITS</t>
  </si>
  <si>
    <t>387XX</t>
  </si>
  <si>
    <t>INTERGOVERNMENTAL REVENUE (CDBG)</t>
  </si>
  <si>
    <t>INTERGOVERNMENTAL REVENUE (FIRE)</t>
  </si>
  <si>
    <t>INTERGOVERNMENTAL REVENUE (COMMISSION)</t>
  </si>
  <si>
    <t>CHARGES FOR SERVICES (SHERIFF)</t>
  </si>
  <si>
    <t>CHARGES FOR SERVICES (PUBLIC WORKS)</t>
  </si>
  <si>
    <t>ATTORNEY FORFEITURES</t>
  </si>
  <si>
    <t>422XX</t>
  </si>
  <si>
    <t>SHERIFF / WILDLAND FIRE</t>
  </si>
  <si>
    <t>44700-7100</t>
  </si>
  <si>
    <t>42111</t>
  </si>
  <si>
    <t>PATROL EXPENDITURES</t>
  </si>
  <si>
    <t>42121</t>
  </si>
  <si>
    <t>INVESTIGATION EXPENDITURES</t>
  </si>
  <si>
    <t>42181</t>
  </si>
  <si>
    <t>SEX CRIMES INVESTIGATION EXPENDITURES</t>
  </si>
  <si>
    <t>42531</t>
  </si>
  <si>
    <t>ANIMAL ENFORCEMENT EXPENDITURES</t>
  </si>
  <si>
    <t>42111-9200</t>
  </si>
  <si>
    <t>41510</t>
  </si>
  <si>
    <t>NON-DEPARTMENTAL</t>
  </si>
  <si>
    <t>JUSTICE COURT GRANT EXPENDITURES</t>
  </si>
  <si>
    <t>CONVENTION CENTER OPERATION &amp; MAINTENANCE</t>
  </si>
  <si>
    <t>TRANSFER TO FD 391 (THANKSGIVING PT BOND PMT)</t>
  </si>
  <si>
    <t>34160</t>
  </si>
  <si>
    <t>AUDITOR FEES</t>
  </si>
  <si>
    <t>TRANSFER TO ROAD PROJECTS (FUND 247)</t>
  </si>
  <si>
    <t>49241</t>
  </si>
  <si>
    <t>SHERIFF DONATIONS</t>
  </si>
  <si>
    <t>OTHER GRANT EXPENDITURES</t>
  </si>
  <si>
    <t>ATTORNEY DONATIONS</t>
  </si>
  <si>
    <t>44700-9200</t>
  </si>
  <si>
    <t>TRANSFER TO FD 220 (MUNICIPAL BLDG AUTHORITY)</t>
  </si>
  <si>
    <t>TRANSFER TO FD 274 (CONTRACT LAW ENFORCE)</t>
  </si>
  <si>
    <t>TRANSFER TO FD 400 (CONVENTION CENTER)</t>
  </si>
  <si>
    <t>3470X</t>
  </si>
  <si>
    <t>TRANSFER FROM UTAH COUNTY GOVT (FD 100)</t>
  </si>
  <si>
    <t>49241-7410</t>
  </si>
  <si>
    <t>TRANSFER TO FD 400 (HISTORIC COURTHOUSE)</t>
  </si>
  <si>
    <t>TRANSFER FROM FD 281 (CONVENTION CENTER)</t>
  </si>
  <si>
    <t>TRANSFER FROM FD 281 (HISTORIC COURTHOUSE)</t>
  </si>
  <si>
    <t>TRANSFER FROM FD 630 (BUILDING MAINTENANCE)</t>
  </si>
  <si>
    <t>MATC LEASE PAYMENT</t>
  </si>
  <si>
    <t>FRANCHISE TAXES</t>
  </si>
  <si>
    <t>33280</t>
  </si>
  <si>
    <t>SHERIFF CORRECTIONS ALCOHOL FUNDS</t>
  </si>
  <si>
    <t>35101</t>
  </si>
  <si>
    <t>PARKING TICKETS</t>
  </si>
  <si>
    <t>43350-1XXX</t>
  </si>
  <si>
    <t>43350-7410</t>
  </si>
  <si>
    <t>FIRE GRANT EXPENDITURES</t>
  </si>
  <si>
    <t>38701</t>
  </si>
  <si>
    <t>42250-1XXX</t>
  </si>
  <si>
    <t>42250-7410</t>
  </si>
  <si>
    <t>INMATE BENEFIT (273)</t>
  </si>
  <si>
    <t>42730-1XXX</t>
  </si>
  <si>
    <t>42730-7410</t>
  </si>
  <si>
    <t>FREEDOM FESTIVAL</t>
  </si>
  <si>
    <t>SPANISH FORK FAIRGROUNDS</t>
  </si>
  <si>
    <t>47120-8100</t>
  </si>
  <si>
    <t>47120-8200</t>
  </si>
  <si>
    <t>FISCAL AGENT FEES</t>
  </si>
  <si>
    <t>47121-8100</t>
  </si>
  <si>
    <t>47121-8200</t>
  </si>
  <si>
    <t>REVENUE BOND PRINCIPAL PAYMENTS</t>
  </si>
  <si>
    <t>REVENUE BOND INTEREST PAYMENTS</t>
  </si>
  <si>
    <t>GENERAL OBLIGATION BOND PRINCIPAL PAYMENTS</t>
  </si>
  <si>
    <t>GENERAL OBLIGATION BOND INTEREST PAYMENTS</t>
  </si>
  <si>
    <t>TRANSFER FROM FD 650 (RADIO)</t>
  </si>
  <si>
    <t>MOSQUITO ABATEMENT BUILDING</t>
  </si>
  <si>
    <t>EAGLE MOUNTAIN COMMUNICATIONS TOWER</t>
  </si>
  <si>
    <t>SEWER CONNECTION</t>
  </si>
  <si>
    <t>FOOTHILL NORTH BUILDING</t>
  </si>
  <si>
    <t>49251-1XXX</t>
  </si>
  <si>
    <t>49251-7410</t>
  </si>
  <si>
    <t>UTAH COUNTY ART BOARD</t>
  </si>
  <si>
    <t>UTAH COUNTY PARKS AND TRAILS</t>
  </si>
  <si>
    <t>47121-3100</t>
  </si>
  <si>
    <t>REVENUE BOND PROFESSIONAL SERVICES</t>
  </si>
  <si>
    <t>43350-9100</t>
  </si>
  <si>
    <t>E911 SURCHARGE</t>
  </si>
  <si>
    <t xml:space="preserve">   Personnel</t>
  </si>
  <si>
    <t xml:space="preserve">   Capital Equipment</t>
  </si>
  <si>
    <t xml:space="preserve">   Other Materials, Supplies, Services</t>
  </si>
  <si>
    <t xml:space="preserve">   Charges from Internal Service Funds</t>
  </si>
  <si>
    <t>GENERAL FUND (100), continued</t>
  </si>
  <si>
    <t xml:space="preserve">   Personnel (excluding overtime)</t>
  </si>
  <si>
    <t xml:space="preserve">   Overtime</t>
  </si>
  <si>
    <t>33282</t>
  </si>
  <si>
    <t>SHERIFF VOCA GRANTS</t>
  </si>
  <si>
    <t>49211-9500</t>
  </si>
  <si>
    <t>PAYMENT TO CITIES FOR FIRE PROTECTION</t>
  </si>
  <si>
    <t>45620-9500</t>
  </si>
  <si>
    <t>TRANSFER TO FD 290 (ASSESSING &amp; COLLECTING)</t>
  </si>
  <si>
    <t>47120-9100</t>
  </si>
  <si>
    <t>TRANSFER TO FD 391 (REVENUE DEBT SERVICE)</t>
  </si>
  <si>
    <t>TRANSFER FROM FD 390 (GO DEBT SERVICE)</t>
  </si>
  <si>
    <t>31160</t>
  </si>
  <si>
    <t>PROPERTY TAXES ASSIGNED TO RDA</t>
  </si>
  <si>
    <t>INTERGOVERNMENTAL REVENUE (MOSQUITO)</t>
  </si>
  <si>
    <t>41120-9500</t>
  </si>
  <si>
    <t>3427X</t>
  </si>
  <si>
    <t>CONTRIBUTION TO UTAH VALLEY DISPATCH SSD</t>
  </si>
  <si>
    <t>CONTRIBUTION TO REDEVELOPMENT AGENCIES</t>
  </si>
  <si>
    <t>MOSQUITO ABATEMENT GRANT EXPENDITURES</t>
  </si>
  <si>
    <t>INTERGOVERNMENTAL REVENUE (UNASSIGNED)</t>
  </si>
  <si>
    <t>CHARGES FOR SERVICES (IT DEPARTMENT)</t>
  </si>
  <si>
    <t>38703</t>
  </si>
  <si>
    <t>PUBLIC WORKS DONATIONS</t>
  </si>
  <si>
    <t>UNASSIGNED GRANT EXPENDITURES</t>
  </si>
  <si>
    <t>MCAT PROGRAMMING EXPENDITURES</t>
  </si>
  <si>
    <t>SECTION 2216 SALES TAX - COUNTY PORTION</t>
  </si>
  <si>
    <t>SECTION 2216 SALES TAX - UTA PORTION</t>
  </si>
  <si>
    <t>SECTION 2218 SALES TAX</t>
  </si>
  <si>
    <t>SECTION 2208 SALES TAX - UTA</t>
  </si>
  <si>
    <t>31360-1000</t>
  </si>
  <si>
    <t>31365</t>
  </si>
  <si>
    <t>SECTION 2216 SALES TAX ROAD PROJECTS</t>
  </si>
  <si>
    <t>SECTION 2218 SALES TAX ROAD PROJECTS</t>
  </si>
  <si>
    <t>SECTION 2218 SALES TAX BOND EXPENDITURES</t>
  </si>
  <si>
    <t>44166-9500</t>
  </si>
  <si>
    <t>PASS-THRU FUNDING TO UTAH TRANSIT AUTHORITY</t>
  </si>
  <si>
    <t>44160-9500</t>
  </si>
  <si>
    <t>31364</t>
  </si>
  <si>
    <t>34247</t>
  </si>
  <si>
    <t>MOUNTAINLANDS HEALTH BUILDING</t>
  </si>
  <si>
    <t>LAND PURCHASES</t>
  </si>
  <si>
    <t>FISCAL YEAR 2016</t>
  </si>
  <si>
    <t>49251-5300</t>
  </si>
  <si>
    <t>INTEREST EXPENSE</t>
  </si>
  <si>
    <t>49251-9500</t>
  </si>
  <si>
    <t>LOAN PRINCIPAL REPAYMENT - UTAH COUNTY GOVT</t>
  </si>
  <si>
    <t>OTHER FINANCING SOURCE - LOAN PROCEEDS</t>
  </si>
  <si>
    <t>33201-1100</t>
  </si>
  <si>
    <t>SHERIFF ENFORCEMENT GRANTS</t>
  </si>
  <si>
    <t>34410</t>
  </si>
  <si>
    <t>PW CHARGES FOR SERVICES</t>
  </si>
  <si>
    <t>TRANSFER TO FD 281 (TRCC)</t>
  </si>
  <si>
    <t>TRANSFER TO FD 210 (DDAPT)</t>
  </si>
  <si>
    <t>DDAPT (210)</t>
  </si>
  <si>
    <t>TRANSFER TO FD 247 (ROAD PROJECTS)</t>
  </si>
  <si>
    <t>367XX</t>
  </si>
  <si>
    <t>PROCEEDS FROM ISSUANCE OF BONDS</t>
  </si>
  <si>
    <t>45620-7100</t>
  </si>
  <si>
    <t>35221</t>
  </si>
  <si>
    <t>SHERIFF FORFEITURES</t>
  </si>
  <si>
    <t>38704</t>
  </si>
  <si>
    <t>COMMISSION DONATIONS</t>
  </si>
  <si>
    <t>421XX/423XX</t>
  </si>
  <si>
    <t>TRANSFER FROM FD 620 (JAIL KITCHEN)</t>
  </si>
  <si>
    <t>44700-XXXX</t>
  </si>
  <si>
    <t>COSTS OF ISSUANCE OF BONDS</t>
  </si>
  <si>
    <t>TRANSFER FROM FD 281 (TRCC - COVENTION CTR)</t>
  </si>
  <si>
    <t>TRANSFER FROM FD 281 (TRCC - THANKSGIVING PT)</t>
  </si>
  <si>
    <t>PUBLIC AID (INDIGENT BURIALS)</t>
  </si>
  <si>
    <t>FINAL</t>
  </si>
  <si>
    <t>INTERGOVERNMENTAL REVENUE (SHERIFF)</t>
  </si>
  <si>
    <t>TRANSFER TO FD 100 (GUN RANGE OPERATIONS)</t>
  </si>
  <si>
    <t>TRANSFER FROM FD 210 (DDAPT)</t>
  </si>
  <si>
    <t>TRANSFER FROM FD 281 (TRCC TAXES)</t>
  </si>
  <si>
    <t>47121-8300</t>
  </si>
  <si>
    <t>UTAH VALLEY ROAD 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</si>
</sst>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000"/>
    <numFmt numFmtId="166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color indexed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2"/>
      <color indexed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0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/>
    <xf numFmtId="1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0" applyFont="1"/>
    <xf numFmtId="0" fontId="6" fillId="0" borderId="0" xfId="0" applyFont="1" applyFill="1" applyBorder="1"/>
    <xf numFmtId="164" fontId="7" fillId="0" borderId="1" xfId="1" applyNumberFormat="1" applyFont="1" applyFill="1" applyBorder="1"/>
    <xf numFmtId="164" fontId="7" fillId="0" borderId="2" xfId="1" applyNumberFormat="1" applyFont="1" applyFill="1" applyBorder="1"/>
    <xf numFmtId="164" fontId="6" fillId="0" borderId="3" xfId="1" applyNumberFormat="1" applyFont="1" applyFill="1" applyBorder="1"/>
    <xf numFmtId="164" fontId="7" fillId="0" borderId="0" xfId="1" applyNumberFormat="1" applyFont="1" applyFill="1" applyBorder="1"/>
    <xf numFmtId="0" fontId="6" fillId="0" borderId="0" xfId="0" quotePrefix="1" applyFont="1" applyFill="1" applyBorder="1"/>
    <xf numFmtId="164" fontId="7" fillId="0" borderId="4" xfId="1" applyNumberFormat="1" applyFont="1" applyFill="1" applyBorder="1"/>
    <xf numFmtId="8" fontId="7" fillId="0" borderId="0" xfId="1" applyNumberFormat="1" applyFont="1" applyFill="1" applyBorder="1"/>
    <xf numFmtId="164" fontId="9" fillId="0" borderId="1" xfId="1" applyNumberFormat="1" applyFont="1" applyFill="1" applyBorder="1"/>
    <xf numFmtId="164" fontId="8" fillId="0" borderId="0" xfId="1" applyNumberFormat="1" applyFont="1" applyFill="1" applyBorder="1"/>
    <xf numFmtId="164" fontId="7" fillId="0" borderId="5" xfId="1" applyNumberFormat="1" applyFont="1" applyFill="1" applyBorder="1"/>
    <xf numFmtId="164" fontId="8" fillId="0" borderId="6" xfId="1" applyNumberFormat="1" applyFont="1" applyFill="1" applyBorder="1"/>
    <xf numFmtId="165" fontId="2" fillId="0" borderId="0" xfId="0" applyNumberFormat="1" applyFont="1" applyBorder="1"/>
    <xf numFmtId="164" fontId="7" fillId="0" borderId="7" xfId="1" applyNumberFormat="1" applyFont="1" applyFill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9" fillId="0" borderId="5" xfId="1" applyNumberFormat="1" applyFont="1" applyFill="1" applyBorder="1"/>
    <xf numFmtId="164" fontId="6" fillId="0" borderId="6" xfId="1" applyNumberFormat="1" applyFont="1" applyFill="1" applyBorder="1"/>
    <xf numFmtId="164" fontId="9" fillId="0" borderId="0" xfId="1" applyNumberFormat="1" applyFont="1" applyFill="1" applyBorder="1"/>
    <xf numFmtId="164" fontId="7" fillId="0" borderId="10" xfId="1" applyNumberFormat="1" applyFont="1" applyFill="1" applyBorder="1"/>
    <xf numFmtId="164" fontId="9" fillId="0" borderId="10" xfId="1" applyNumberFormat="1" applyFont="1" applyFill="1" applyBorder="1"/>
    <xf numFmtId="6" fontId="0" fillId="0" borderId="0" xfId="0" applyNumberFormat="1"/>
    <xf numFmtId="0" fontId="0" fillId="0" borderId="0" xfId="0" applyFill="1"/>
    <xf numFmtId="164" fontId="11" fillId="0" borderId="0" xfId="1" applyNumberFormat="1" applyFont="1" applyFill="1" applyBorder="1"/>
    <xf numFmtId="164" fontId="4" fillId="0" borderId="9" xfId="1" applyNumberFormat="1" applyFont="1" applyFill="1" applyBorder="1"/>
    <xf numFmtId="1" fontId="3" fillId="0" borderId="0" xfId="1" applyNumberFormat="1" applyFont="1" applyFill="1" applyBorder="1" applyAlignment="1" applyProtection="1">
      <alignment horizontal="center"/>
      <protection locked="0"/>
    </xf>
    <xf numFmtId="14" fontId="10" fillId="0" borderId="11" xfId="0" applyNumberFormat="1" applyFont="1" applyFill="1" applyBorder="1" applyAlignment="1" applyProtection="1">
      <alignment horizontal="center"/>
      <protection locked="0"/>
    </xf>
    <xf numFmtId="164" fontId="10" fillId="0" borderId="12" xfId="1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6" fontId="7" fillId="0" borderId="1" xfId="0" applyNumberFormat="1" applyFont="1" applyFill="1" applyBorder="1" applyAlignment="1" applyProtection="1">
      <alignment horizontal="right"/>
      <protection locked="0"/>
    </xf>
    <xf numFmtId="6" fontId="7" fillId="0" borderId="10" xfId="0" applyNumberFormat="1" applyFont="1" applyFill="1" applyBorder="1" applyAlignment="1" applyProtection="1">
      <alignment horizontal="right"/>
      <protection locked="0"/>
    </xf>
    <xf numFmtId="6" fontId="7" fillId="0" borderId="13" xfId="0" applyNumberFormat="1" applyFont="1" applyFill="1" applyBorder="1" applyAlignment="1" applyProtection="1">
      <alignment horizontal="right"/>
      <protection locked="0"/>
    </xf>
    <xf numFmtId="6" fontId="7" fillId="0" borderId="0" xfId="0" applyNumberFormat="1" applyFont="1" applyFill="1" applyBorder="1" applyAlignment="1" applyProtection="1">
      <alignment horizontal="right"/>
      <protection locked="0"/>
    </xf>
    <xf numFmtId="6" fontId="6" fillId="0" borderId="0" xfId="0" applyNumberFormat="1" applyFont="1" applyFill="1" applyProtection="1">
      <protection locked="0"/>
    </xf>
    <xf numFmtId="6" fontId="7" fillId="0" borderId="1" xfId="0" applyNumberFormat="1" applyFont="1" applyFill="1" applyBorder="1" applyProtection="1">
      <protection locked="0"/>
    </xf>
    <xf numFmtId="6" fontId="7" fillId="0" borderId="6" xfId="0" applyNumberFormat="1" applyFont="1" applyFill="1" applyBorder="1" applyProtection="1">
      <protection locked="0"/>
    </xf>
    <xf numFmtId="6" fontId="7" fillId="0" borderId="0" xfId="0" applyNumberFormat="1" applyFont="1" applyFill="1" applyBorder="1" applyProtection="1">
      <protection locked="0"/>
    </xf>
    <xf numFmtId="6" fontId="9" fillId="0" borderId="5" xfId="0" applyNumberFormat="1" applyFont="1" applyFill="1" applyBorder="1" applyProtection="1">
      <protection locked="0"/>
    </xf>
    <xf numFmtId="6" fontId="9" fillId="0" borderId="6" xfId="0" applyNumberFormat="1" applyFont="1" applyFill="1" applyBorder="1" applyProtection="1">
      <protection locked="0"/>
    </xf>
    <xf numFmtId="6" fontId="9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Fill="1" applyProtection="1">
      <protection locked="0"/>
    </xf>
    <xf numFmtId="14" fontId="10" fillId="0" borderId="11" xfId="0" applyNumberFormat="1" applyFont="1" applyFill="1" applyBorder="1" applyAlignment="1" applyProtection="1">
      <alignment horizontal="center"/>
    </xf>
    <xf numFmtId="164" fontId="10" fillId="0" borderId="12" xfId="1" applyNumberFormat="1" applyFont="1" applyFill="1" applyBorder="1" applyAlignment="1" applyProtection="1">
      <alignment horizontal="center"/>
    </xf>
    <xf numFmtId="6" fontId="7" fillId="0" borderId="6" xfId="0" applyNumberFormat="1" applyFont="1" applyFill="1" applyBorder="1" applyProtection="1"/>
    <xf numFmtId="6" fontId="9" fillId="0" borderId="6" xfId="0" applyNumberFormat="1" applyFont="1" applyFill="1" applyBorder="1" applyProtection="1"/>
    <xf numFmtId="0" fontId="5" fillId="0" borderId="1" xfId="0" applyFont="1" applyBorder="1"/>
    <xf numFmtId="164" fontId="6" fillId="0" borderId="0" xfId="1" applyNumberFormat="1" applyFont="1" applyFill="1" applyBorder="1"/>
    <xf numFmtId="6" fontId="7" fillId="0" borderId="5" xfId="0" applyNumberFormat="1" applyFont="1" applyFill="1" applyBorder="1" applyAlignment="1" applyProtection="1">
      <alignment horizontal="right"/>
      <protection locked="0"/>
    </xf>
    <xf numFmtId="6" fontId="7" fillId="0" borderId="5" xfId="0" applyNumberFormat="1" applyFont="1" applyFill="1" applyBorder="1" applyProtection="1">
      <protection locked="0"/>
    </xf>
    <xf numFmtId="6" fontId="0" fillId="0" borderId="0" xfId="0" applyNumberFormat="1" applyFill="1" applyProtection="1">
      <protection locked="0"/>
    </xf>
    <xf numFmtId="6" fontId="0" fillId="0" borderId="0" xfId="0" applyNumberFormat="1" applyProtection="1">
      <protection locked="0"/>
    </xf>
    <xf numFmtId="166" fontId="0" fillId="0" borderId="0" xfId="1" applyNumberFormat="1" applyFont="1"/>
    <xf numFmtId="166" fontId="10" fillId="0" borderId="0" xfId="0" applyNumberFormat="1" applyFont="1"/>
    <xf numFmtId="8" fontId="0" fillId="0" borderId="0" xfId="0" applyNumberFormat="1" applyFill="1" applyProtection="1">
      <protection locked="0"/>
    </xf>
    <xf numFmtId="164" fontId="11" fillId="2" borderId="2" xfId="1" applyNumberFormat="1" applyFont="1" applyFill="1" applyBorder="1"/>
    <xf numFmtId="6" fontId="11" fillId="2" borderId="1" xfId="0" applyNumberFormat="1" applyFont="1" applyFill="1" applyBorder="1" applyAlignment="1" applyProtection="1">
      <alignment horizontal="right"/>
      <protection locked="0"/>
    </xf>
    <xf numFmtId="164" fontId="13" fillId="0" borderId="9" xfId="1" applyNumberFormat="1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0" fontId="2" fillId="0" borderId="0" xfId="0" applyFont="1" applyFill="1" applyBorder="1"/>
    <xf numFmtId="6" fontId="5" fillId="0" borderId="5" xfId="0" applyNumberFormat="1" applyFont="1" applyFill="1" applyBorder="1" applyAlignment="1" applyProtection="1">
      <alignment horizontal="right"/>
      <protection locked="0"/>
    </xf>
    <xf numFmtId="164" fontId="5" fillId="0" borderId="4" xfId="1" applyNumberFormat="1" applyFont="1" applyFill="1" applyBorder="1"/>
    <xf numFmtId="6" fontId="5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Font="1" applyFill="1" applyBorder="1"/>
    <xf numFmtId="0" fontId="1" fillId="0" borderId="0" xfId="0" applyFont="1" applyFill="1" applyProtection="1">
      <protection locked="0"/>
    </xf>
    <xf numFmtId="6" fontId="5" fillId="0" borderId="1" xfId="0" applyNumberFormat="1" applyFont="1" applyFill="1" applyBorder="1" applyProtection="1">
      <protection locked="0"/>
    </xf>
    <xf numFmtId="6" fontId="7" fillId="0" borderId="0" xfId="0" applyNumberFormat="1" applyFont="1" applyFill="1" applyBorder="1" applyProtection="1"/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3"/>
  <sheetViews>
    <sheetView tabSelected="1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3.85546875" style="5" bestFit="1" customWidth="1"/>
    <col min="2" max="2" width="60.28515625" style="5" customWidth="1"/>
    <col min="3" max="3" width="16.140625" style="35" bestFit="1" customWidth="1"/>
    <col min="4" max="5" width="16.7109375" style="35" bestFit="1" customWidth="1"/>
    <col min="6" max="6" width="2.7109375" customWidth="1"/>
  </cols>
  <sheetData>
    <row r="1" spans="1:5" ht="19.5" x14ac:dyDescent="0.4">
      <c r="A1" s="18"/>
      <c r="B1" s="2" t="s">
        <v>0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21" thickTop="1" thickBot="1" x14ac:dyDescent="0.45">
      <c r="A4" s="1"/>
      <c r="B4" s="30" t="s">
        <v>20</v>
      </c>
      <c r="C4" s="34"/>
      <c r="D4" s="34"/>
      <c r="E4" s="34"/>
    </row>
    <row r="5" spans="1:5" ht="16.5" thickTop="1" x14ac:dyDescent="0.25">
      <c r="A5" s="67"/>
      <c r="B5" s="4" t="s">
        <v>2</v>
      </c>
    </row>
    <row r="6" spans="1:5" ht="15.75" x14ac:dyDescent="0.25">
      <c r="A6" s="67" t="s">
        <v>275</v>
      </c>
      <c r="B6" s="7" t="s">
        <v>185</v>
      </c>
      <c r="C6" s="36">
        <v>28530647.210000001</v>
      </c>
      <c r="D6" s="36">
        <v>30000000</v>
      </c>
      <c r="E6" s="36">
        <v>30367000</v>
      </c>
    </row>
    <row r="7" spans="1:5" ht="15.75" x14ac:dyDescent="0.25">
      <c r="A7" s="71" t="s">
        <v>263</v>
      </c>
      <c r="B7" s="7" t="s">
        <v>165</v>
      </c>
      <c r="C7" s="36">
        <v>1397782.33</v>
      </c>
      <c r="D7" s="36">
        <v>1731000</v>
      </c>
      <c r="E7" s="36">
        <v>1783000</v>
      </c>
    </row>
    <row r="8" spans="1:5" ht="15.75" x14ac:dyDescent="0.25">
      <c r="A8" s="71" t="s">
        <v>264</v>
      </c>
      <c r="B8" s="7" t="s">
        <v>166</v>
      </c>
      <c r="C8" s="36">
        <v>21364817.23</v>
      </c>
      <c r="D8" s="36">
        <v>22547000</v>
      </c>
      <c r="E8" s="36">
        <v>23562000</v>
      </c>
    </row>
    <row r="9" spans="1:5" ht="15.75" x14ac:dyDescent="0.25">
      <c r="A9" s="71" t="s">
        <v>280</v>
      </c>
      <c r="B9" s="7" t="s">
        <v>411</v>
      </c>
      <c r="C9" s="36">
        <v>4704.09</v>
      </c>
      <c r="D9" s="36">
        <v>4000</v>
      </c>
      <c r="E9" s="36">
        <v>4000</v>
      </c>
    </row>
    <row r="10" spans="1:5" ht="15.75" x14ac:dyDescent="0.25">
      <c r="A10" s="71" t="s">
        <v>112</v>
      </c>
      <c r="B10" s="7" t="s">
        <v>113</v>
      </c>
      <c r="C10" s="36">
        <v>33177.97</v>
      </c>
      <c r="D10" s="36">
        <v>32047</v>
      </c>
      <c r="E10" s="36">
        <v>32000</v>
      </c>
    </row>
    <row r="11" spans="1:5" ht="15.75" x14ac:dyDescent="0.25">
      <c r="A11" s="71" t="s">
        <v>335</v>
      </c>
      <c r="B11" s="7" t="s">
        <v>336</v>
      </c>
      <c r="C11" s="36">
        <v>165522.56</v>
      </c>
      <c r="D11" s="36">
        <v>145356</v>
      </c>
      <c r="E11" s="36">
        <v>135000</v>
      </c>
    </row>
    <row r="12" spans="1:5" ht="15.75" x14ac:dyDescent="0.25">
      <c r="A12" s="71" t="s">
        <v>265</v>
      </c>
      <c r="B12" s="7" t="s">
        <v>180</v>
      </c>
      <c r="C12" s="36">
        <v>103260</v>
      </c>
      <c r="D12" s="36">
        <v>170940</v>
      </c>
      <c r="E12" s="36">
        <v>170000</v>
      </c>
    </row>
    <row r="13" spans="1:5" ht="15.75" x14ac:dyDescent="0.25">
      <c r="A13" s="71" t="s">
        <v>358</v>
      </c>
      <c r="B13" s="7" t="s">
        <v>359</v>
      </c>
      <c r="C13" s="36">
        <v>3816</v>
      </c>
      <c r="D13" s="36">
        <v>11592</v>
      </c>
      <c r="E13" s="36">
        <v>8160</v>
      </c>
    </row>
    <row r="14" spans="1:5" ht="15.75" x14ac:dyDescent="0.25">
      <c r="A14" s="71" t="s">
        <v>501</v>
      </c>
      <c r="B14" s="65" t="s">
        <v>502</v>
      </c>
      <c r="C14" s="36">
        <v>-657.71</v>
      </c>
      <c r="D14" s="36">
        <v>0</v>
      </c>
      <c r="E14" s="36">
        <v>0</v>
      </c>
    </row>
    <row r="15" spans="1:5" ht="15.75" x14ac:dyDescent="0.25">
      <c r="A15" s="71" t="s">
        <v>266</v>
      </c>
      <c r="B15" s="7" t="s">
        <v>360</v>
      </c>
      <c r="C15" s="36">
        <v>89989</v>
      </c>
      <c r="D15" s="36">
        <v>77422</v>
      </c>
      <c r="E15" s="36">
        <v>90000</v>
      </c>
    </row>
    <row r="16" spans="1:5" ht="15.75" x14ac:dyDescent="0.25">
      <c r="A16" s="71" t="s">
        <v>412</v>
      </c>
      <c r="B16" s="7" t="s">
        <v>413</v>
      </c>
      <c r="C16" s="36">
        <v>251973.74</v>
      </c>
      <c r="D16" s="36">
        <v>257695</v>
      </c>
      <c r="E16" s="36">
        <v>257695</v>
      </c>
    </row>
    <row r="17" spans="1:5" ht="15.75" x14ac:dyDescent="0.25">
      <c r="A17" s="71" t="s">
        <v>456</v>
      </c>
      <c r="B17" s="65" t="s">
        <v>457</v>
      </c>
      <c r="C17" s="36">
        <v>6000</v>
      </c>
      <c r="D17" s="36">
        <v>6000</v>
      </c>
      <c r="E17" s="36">
        <v>0</v>
      </c>
    </row>
    <row r="18" spans="1:5" ht="15.75" x14ac:dyDescent="0.25">
      <c r="A18" s="71" t="s">
        <v>267</v>
      </c>
      <c r="B18" s="7" t="s">
        <v>9</v>
      </c>
      <c r="C18" s="36">
        <v>512808</v>
      </c>
      <c r="D18" s="36">
        <v>499704</v>
      </c>
      <c r="E18" s="36">
        <v>450000</v>
      </c>
    </row>
    <row r="19" spans="1:5" ht="15.75" x14ac:dyDescent="0.25">
      <c r="A19" s="71" t="s">
        <v>268</v>
      </c>
      <c r="B19" s="7" t="s">
        <v>321</v>
      </c>
      <c r="C19" s="36">
        <v>75839.73</v>
      </c>
      <c r="D19" s="36">
        <v>73000</v>
      </c>
      <c r="E19" s="36">
        <v>75000</v>
      </c>
    </row>
    <row r="20" spans="1:5" ht="15.75" x14ac:dyDescent="0.25">
      <c r="A20" s="71" t="s">
        <v>319</v>
      </c>
      <c r="B20" s="7" t="s">
        <v>350</v>
      </c>
      <c r="C20" s="36">
        <v>130337.21</v>
      </c>
      <c r="D20" s="36">
        <v>123692</v>
      </c>
      <c r="E20" s="36">
        <v>135000</v>
      </c>
    </row>
    <row r="21" spans="1:5" ht="15.75" x14ac:dyDescent="0.25">
      <c r="A21" s="71" t="s">
        <v>342</v>
      </c>
      <c r="B21" s="7" t="s">
        <v>343</v>
      </c>
      <c r="C21" s="36">
        <v>9016.73</v>
      </c>
      <c r="D21" s="36">
        <v>9000</v>
      </c>
      <c r="E21" s="36">
        <v>9000</v>
      </c>
    </row>
    <row r="22" spans="1:5" ht="15.75" x14ac:dyDescent="0.25">
      <c r="A22" s="71" t="s">
        <v>337</v>
      </c>
      <c r="B22" s="7" t="s">
        <v>3</v>
      </c>
      <c r="C22" s="36">
        <v>0</v>
      </c>
      <c r="D22" s="36">
        <v>410334</v>
      </c>
      <c r="E22" s="36">
        <v>149206</v>
      </c>
    </row>
    <row r="23" spans="1:5" ht="15.75" x14ac:dyDescent="0.25">
      <c r="A23" s="67" t="s">
        <v>10</v>
      </c>
      <c r="B23" s="7" t="s">
        <v>344</v>
      </c>
      <c r="C23" s="36">
        <v>7920</v>
      </c>
      <c r="D23" s="36">
        <v>12780</v>
      </c>
      <c r="E23" s="36">
        <v>16000</v>
      </c>
    </row>
    <row r="24" spans="1:5" ht="15.75" x14ac:dyDescent="0.25">
      <c r="A24" s="67" t="s">
        <v>345</v>
      </c>
      <c r="B24" s="7" t="s">
        <v>346</v>
      </c>
      <c r="C24" s="36">
        <v>51719.05</v>
      </c>
      <c r="D24" s="36">
        <v>55278</v>
      </c>
      <c r="E24" s="36">
        <v>51630</v>
      </c>
    </row>
    <row r="25" spans="1:5" ht="15.75" x14ac:dyDescent="0.25">
      <c r="A25" s="71" t="s">
        <v>347</v>
      </c>
      <c r="B25" s="7" t="s">
        <v>314</v>
      </c>
      <c r="C25" s="36">
        <v>29261.759999999998</v>
      </c>
      <c r="D25" s="36">
        <v>151998</v>
      </c>
      <c r="E25" s="36">
        <v>150000</v>
      </c>
    </row>
    <row r="26" spans="1:5" ht="15.75" x14ac:dyDescent="0.25">
      <c r="A26" s="67" t="s">
        <v>11</v>
      </c>
      <c r="B26" s="7" t="s">
        <v>4</v>
      </c>
      <c r="C26" s="36">
        <v>187843.09</v>
      </c>
      <c r="D26" s="36">
        <v>179800</v>
      </c>
      <c r="E26" s="36">
        <v>180000</v>
      </c>
    </row>
    <row r="27" spans="1:5" ht="15.75" x14ac:dyDescent="0.25">
      <c r="A27" s="67" t="s">
        <v>12</v>
      </c>
      <c r="B27" s="7" t="s">
        <v>13</v>
      </c>
      <c r="C27" s="36">
        <v>17018.990000000002</v>
      </c>
      <c r="D27" s="36">
        <v>16225</v>
      </c>
      <c r="E27" s="36">
        <v>17000</v>
      </c>
    </row>
    <row r="28" spans="1:5" ht="15.75" x14ac:dyDescent="0.25">
      <c r="A28" s="67" t="s">
        <v>15</v>
      </c>
      <c r="B28" s="7" t="s">
        <v>14</v>
      </c>
      <c r="C28" s="36">
        <v>97650</v>
      </c>
      <c r="D28" s="36">
        <v>115050</v>
      </c>
      <c r="E28" s="36">
        <v>105000</v>
      </c>
    </row>
    <row r="29" spans="1:5" ht="15.75" x14ac:dyDescent="0.25">
      <c r="A29" s="67" t="s">
        <v>16</v>
      </c>
      <c r="B29" s="7" t="s">
        <v>17</v>
      </c>
      <c r="C29" s="36">
        <v>28618.32</v>
      </c>
      <c r="D29" s="36">
        <v>181868</v>
      </c>
      <c r="E29" s="36">
        <v>14000</v>
      </c>
    </row>
    <row r="30" spans="1:5" ht="15.75" x14ac:dyDescent="0.25">
      <c r="A30" s="71" t="s">
        <v>348</v>
      </c>
      <c r="B30" s="7" t="s">
        <v>196</v>
      </c>
      <c r="C30" s="36">
        <v>117617.18</v>
      </c>
      <c r="D30" s="36">
        <v>121419</v>
      </c>
      <c r="E30" s="36">
        <v>125000</v>
      </c>
    </row>
    <row r="31" spans="1:5" ht="15.75" x14ac:dyDescent="0.25">
      <c r="A31" s="71" t="s">
        <v>349</v>
      </c>
      <c r="B31" s="7" t="s">
        <v>320</v>
      </c>
      <c r="C31" s="36">
        <v>194562</v>
      </c>
      <c r="D31" s="36">
        <v>206024</v>
      </c>
      <c r="E31" s="36">
        <v>205000</v>
      </c>
    </row>
    <row r="32" spans="1:5" ht="15.75" x14ac:dyDescent="0.25">
      <c r="A32" s="71" t="s">
        <v>351</v>
      </c>
      <c r="B32" s="7" t="s">
        <v>352</v>
      </c>
      <c r="C32" s="36">
        <v>572828.14</v>
      </c>
      <c r="D32" s="36">
        <v>660293</v>
      </c>
      <c r="E32" s="36">
        <v>665000</v>
      </c>
    </row>
    <row r="33" spans="1:5" ht="15.75" x14ac:dyDescent="0.25">
      <c r="A33" s="71" t="s">
        <v>362</v>
      </c>
      <c r="B33" s="7" t="s">
        <v>361</v>
      </c>
      <c r="C33" s="36">
        <f>1968928.88+115893.04</f>
        <v>2084821.92</v>
      </c>
      <c r="D33" s="36">
        <v>2029453</v>
      </c>
      <c r="E33" s="36">
        <v>2021475</v>
      </c>
    </row>
    <row r="34" spans="1:5" ht="15.75" x14ac:dyDescent="0.25">
      <c r="A34" s="67" t="s">
        <v>362</v>
      </c>
      <c r="B34" s="7" t="s">
        <v>353</v>
      </c>
      <c r="C34" s="36">
        <v>1212894.45</v>
      </c>
      <c r="D34" s="36">
        <v>1289551</v>
      </c>
      <c r="E34" s="36">
        <v>1323804</v>
      </c>
    </row>
    <row r="35" spans="1:5" ht="15.75" x14ac:dyDescent="0.25">
      <c r="A35" s="67" t="s">
        <v>355</v>
      </c>
      <c r="B35" s="7" t="s">
        <v>354</v>
      </c>
      <c r="C35" s="36">
        <v>9163609.2400000002</v>
      </c>
      <c r="D35" s="36">
        <v>8539464</v>
      </c>
      <c r="E35" s="36">
        <v>8134270</v>
      </c>
    </row>
    <row r="36" spans="1:5" ht="15.75" x14ac:dyDescent="0.25">
      <c r="A36" s="71" t="s">
        <v>270</v>
      </c>
      <c r="B36" s="7" t="s">
        <v>248</v>
      </c>
      <c r="C36" s="36">
        <v>11791.5</v>
      </c>
      <c r="D36" s="36">
        <v>26405</v>
      </c>
      <c r="E36" s="36">
        <v>15000</v>
      </c>
    </row>
    <row r="37" spans="1:5" ht="15.75" x14ac:dyDescent="0.25">
      <c r="A37" s="71" t="s">
        <v>503</v>
      </c>
      <c r="B37" s="65" t="s">
        <v>504</v>
      </c>
      <c r="C37" s="36">
        <v>8856.36</v>
      </c>
      <c r="D37" s="36">
        <v>4500</v>
      </c>
      <c r="E37" s="36">
        <v>0</v>
      </c>
    </row>
    <row r="38" spans="1:5" ht="15.75" x14ac:dyDescent="0.25">
      <c r="A38" s="71" t="s">
        <v>271</v>
      </c>
      <c r="B38" s="7" t="s">
        <v>322</v>
      </c>
      <c r="C38" s="36">
        <v>1716.5</v>
      </c>
      <c r="D38" s="36">
        <v>4756</v>
      </c>
      <c r="E38" s="36">
        <v>14500</v>
      </c>
    </row>
    <row r="39" spans="1:5" ht="15.75" x14ac:dyDescent="0.25">
      <c r="A39" s="71" t="s">
        <v>414</v>
      </c>
      <c r="B39" s="7" t="s">
        <v>415</v>
      </c>
      <c r="C39" s="36">
        <v>30</v>
      </c>
      <c r="D39" s="36">
        <v>180</v>
      </c>
      <c r="E39" s="36">
        <v>0</v>
      </c>
    </row>
    <row r="40" spans="1:5" ht="15.75" x14ac:dyDescent="0.25">
      <c r="A40" s="71" t="s">
        <v>272</v>
      </c>
      <c r="B40" s="7" t="s">
        <v>364</v>
      </c>
      <c r="C40" s="36">
        <v>2067339.09</v>
      </c>
      <c r="D40" s="36">
        <v>1875000</v>
      </c>
      <c r="E40" s="36">
        <v>1850000</v>
      </c>
    </row>
    <row r="41" spans="1:5" ht="15.75" x14ac:dyDescent="0.25">
      <c r="A41" s="71" t="s">
        <v>273</v>
      </c>
      <c r="B41" s="7" t="s">
        <v>107</v>
      </c>
      <c r="C41" s="36">
        <v>721453.03</v>
      </c>
      <c r="D41" s="36">
        <v>615000</v>
      </c>
      <c r="E41" s="36">
        <v>610000</v>
      </c>
    </row>
    <row r="42" spans="1:5" ht="15.75" x14ac:dyDescent="0.25">
      <c r="A42" s="67" t="s">
        <v>363</v>
      </c>
      <c r="B42" s="7" t="s">
        <v>365</v>
      </c>
      <c r="C42" s="36">
        <v>33232</v>
      </c>
      <c r="D42" s="36">
        <v>25210</v>
      </c>
      <c r="E42" s="36">
        <v>18550</v>
      </c>
    </row>
    <row r="43" spans="1:5" ht="15.75" x14ac:dyDescent="0.25">
      <c r="A43" s="67" t="s">
        <v>118</v>
      </c>
      <c r="B43" s="7" t="s">
        <v>119</v>
      </c>
      <c r="C43" s="36">
        <v>1345946.25</v>
      </c>
      <c r="D43" s="36">
        <v>287705</v>
      </c>
      <c r="E43" s="36">
        <v>834462</v>
      </c>
    </row>
    <row r="44" spans="1:5" ht="15.75" x14ac:dyDescent="0.25">
      <c r="A44" s="71" t="s">
        <v>105</v>
      </c>
      <c r="B44" s="7" t="s">
        <v>288</v>
      </c>
      <c r="C44" s="36">
        <v>2596500</v>
      </c>
      <c r="D44" s="36">
        <v>2844000</v>
      </c>
      <c r="E44" s="36">
        <v>2952000</v>
      </c>
    </row>
    <row r="45" spans="1:5" ht="15.75" x14ac:dyDescent="0.25">
      <c r="A45" s="71" t="s">
        <v>105</v>
      </c>
      <c r="B45" s="7" t="s">
        <v>289</v>
      </c>
      <c r="C45" s="36">
        <v>435104.7</v>
      </c>
      <c r="D45" s="36">
        <v>666520</v>
      </c>
      <c r="E45" s="36">
        <v>715783</v>
      </c>
    </row>
    <row r="46" spans="1:5" ht="15.75" x14ac:dyDescent="0.25">
      <c r="A46" s="71" t="s">
        <v>105</v>
      </c>
      <c r="B46" s="65" t="s">
        <v>527</v>
      </c>
      <c r="C46" s="36">
        <v>0</v>
      </c>
      <c r="D46" s="36">
        <v>0</v>
      </c>
      <c r="E46" s="36">
        <v>10000</v>
      </c>
    </row>
    <row r="47" spans="1:5" ht="15.75" x14ac:dyDescent="0.25">
      <c r="A47" s="71" t="s">
        <v>105</v>
      </c>
      <c r="B47" s="7" t="s">
        <v>148</v>
      </c>
      <c r="C47" s="36">
        <v>398256.6</v>
      </c>
      <c r="D47" s="36">
        <v>0</v>
      </c>
      <c r="E47" s="36">
        <v>0</v>
      </c>
    </row>
    <row r="48" spans="1:5" ht="15.75" x14ac:dyDescent="0.25">
      <c r="A48" s="71" t="s">
        <v>253</v>
      </c>
      <c r="B48" s="7" t="s">
        <v>283</v>
      </c>
      <c r="C48" s="36">
        <v>1500</v>
      </c>
      <c r="D48" s="36">
        <v>1000</v>
      </c>
      <c r="E48" s="36">
        <v>2500</v>
      </c>
    </row>
    <row r="49" spans="1:6" ht="16.5" thickBot="1" x14ac:dyDescent="0.3">
      <c r="A49" s="71" t="s">
        <v>226</v>
      </c>
      <c r="B49" s="7" t="s">
        <v>187</v>
      </c>
      <c r="C49" s="37">
        <v>0</v>
      </c>
      <c r="D49" s="37">
        <v>2960054</v>
      </c>
      <c r="E49" s="37">
        <v>2913839</v>
      </c>
    </row>
    <row r="50" spans="1:6" ht="17.25" thickTop="1" thickBot="1" x14ac:dyDescent="0.3">
      <c r="A50" s="67"/>
      <c r="B50" s="9" t="s">
        <v>6</v>
      </c>
      <c r="C50" s="38">
        <f>SUM(C6:C49)</f>
        <v>74067124.260000005</v>
      </c>
      <c r="D50" s="38">
        <f>SUM(D6:D49)</f>
        <v>78968315</v>
      </c>
      <c r="E50" s="38">
        <v>80171874</v>
      </c>
    </row>
    <row r="51" spans="1:6" ht="17.25" thickTop="1" thickBot="1" x14ac:dyDescent="0.3">
      <c r="A51" s="67"/>
      <c r="B51" s="29"/>
      <c r="C51" s="39"/>
      <c r="D51" s="39"/>
      <c r="E51" s="39"/>
    </row>
    <row r="52" spans="1:6" ht="21" thickTop="1" thickBot="1" x14ac:dyDescent="0.45">
      <c r="A52" s="67"/>
      <c r="B52" s="64" t="s">
        <v>453</v>
      </c>
      <c r="C52" s="39"/>
      <c r="D52" s="39"/>
      <c r="E52" s="39"/>
    </row>
    <row r="53" spans="1:6" ht="16.5" thickTop="1" x14ac:dyDescent="0.25">
      <c r="A53" s="67"/>
      <c r="B53" s="4" t="s">
        <v>7</v>
      </c>
    </row>
    <row r="54" spans="1:6" ht="15.75" x14ac:dyDescent="0.25">
      <c r="A54" s="71" t="s">
        <v>22</v>
      </c>
      <c r="B54" s="7" t="s">
        <v>21</v>
      </c>
      <c r="C54" s="36">
        <v>955593.71</v>
      </c>
      <c r="D54" s="36">
        <v>1140501</v>
      </c>
      <c r="E54" s="36">
        <v>1181091</v>
      </c>
      <c r="F54" s="27"/>
    </row>
    <row r="55" spans="1:6" ht="15.75" x14ac:dyDescent="0.25">
      <c r="A55" s="71"/>
      <c r="B55" s="62" t="s">
        <v>449</v>
      </c>
      <c r="C55" s="63">
        <v>751284.11</v>
      </c>
      <c r="D55" s="63">
        <v>896823</v>
      </c>
      <c r="E55" s="63">
        <v>961438</v>
      </c>
      <c r="F55" s="27"/>
    </row>
    <row r="56" spans="1:6" ht="15.75" x14ac:dyDescent="0.25">
      <c r="A56" s="71"/>
      <c r="B56" s="62" t="s">
        <v>452</v>
      </c>
      <c r="C56" s="63">
        <v>78499.83</v>
      </c>
      <c r="D56" s="63">
        <f>73311+15329</f>
        <v>88640</v>
      </c>
      <c r="E56" s="63">
        <v>73415</v>
      </c>
      <c r="F56" s="27"/>
    </row>
    <row r="57" spans="1:6" ht="15.75" x14ac:dyDescent="0.25">
      <c r="A57" s="71"/>
      <c r="B57" s="62" t="s">
        <v>450</v>
      </c>
      <c r="C57" s="63">
        <v>0</v>
      </c>
      <c r="D57" s="63">
        <v>0</v>
      </c>
      <c r="E57" s="63">
        <v>0</v>
      </c>
      <c r="F57" s="27"/>
    </row>
    <row r="58" spans="1:6" ht="15.75" x14ac:dyDescent="0.25">
      <c r="A58" s="71"/>
      <c r="B58" s="62" t="s">
        <v>451</v>
      </c>
      <c r="C58" s="63">
        <f>C54-SUM(C55:C57)</f>
        <v>125809.77000000002</v>
      </c>
      <c r="D58" s="63">
        <f>D54-SUM(D55:D57)</f>
        <v>155038</v>
      </c>
      <c r="E58" s="63">
        <v>146238</v>
      </c>
      <c r="F58" s="27"/>
    </row>
    <row r="59" spans="1:6" ht="15.75" x14ac:dyDescent="0.25">
      <c r="A59" s="71" t="s">
        <v>24</v>
      </c>
      <c r="B59" s="8" t="s">
        <v>23</v>
      </c>
      <c r="C59" s="36">
        <v>1135401.51</v>
      </c>
      <c r="D59" s="36">
        <v>1220395</v>
      </c>
      <c r="E59" s="36">
        <v>1309146</v>
      </c>
      <c r="F59" s="27"/>
    </row>
    <row r="60" spans="1:6" ht="15.75" x14ac:dyDescent="0.25">
      <c r="A60" s="71"/>
      <c r="B60" s="62" t="s">
        <v>449</v>
      </c>
      <c r="C60" s="63">
        <v>861715.76</v>
      </c>
      <c r="D60" s="63">
        <f>933169-3700</f>
        <v>929469</v>
      </c>
      <c r="E60" s="63">
        <v>1038044</v>
      </c>
      <c r="F60" s="27"/>
    </row>
    <row r="61" spans="1:6" ht="15.75" x14ac:dyDescent="0.25">
      <c r="A61" s="71"/>
      <c r="B61" s="62" t="s">
        <v>452</v>
      </c>
      <c r="C61" s="63">
        <v>189647.44</v>
      </c>
      <c r="D61" s="63">
        <f>185450+14043</f>
        <v>199493</v>
      </c>
      <c r="E61" s="63">
        <v>199499</v>
      </c>
      <c r="F61" s="27"/>
    </row>
    <row r="62" spans="1:6" ht="15.75" x14ac:dyDescent="0.25">
      <c r="A62" s="71"/>
      <c r="B62" s="62" t="s">
        <v>450</v>
      </c>
      <c r="C62" s="63">
        <v>9293</v>
      </c>
      <c r="D62" s="63">
        <v>5599</v>
      </c>
      <c r="E62" s="63">
        <v>0</v>
      </c>
      <c r="F62" s="27"/>
    </row>
    <row r="63" spans="1:6" ht="15.75" x14ac:dyDescent="0.25">
      <c r="A63" s="71"/>
      <c r="B63" s="62" t="s">
        <v>451</v>
      </c>
      <c r="C63" s="63">
        <f>C59-SUM(C60:C62)</f>
        <v>74745.310000000056</v>
      </c>
      <c r="D63" s="63">
        <f>D59-SUM(D60:D62)</f>
        <v>85834</v>
      </c>
      <c r="E63" s="63">
        <v>71603</v>
      </c>
      <c r="F63" s="27"/>
    </row>
    <row r="64" spans="1:6" ht="15.75" x14ac:dyDescent="0.25">
      <c r="A64" s="71" t="s">
        <v>26</v>
      </c>
      <c r="B64" s="8" t="s">
        <v>25</v>
      </c>
      <c r="C64" s="36">
        <v>1257067.8700000001</v>
      </c>
      <c r="D64" s="36">
        <v>1500940</v>
      </c>
      <c r="E64" s="36">
        <v>1212250</v>
      </c>
      <c r="F64" s="27"/>
    </row>
    <row r="65" spans="1:6" ht="15.75" x14ac:dyDescent="0.25">
      <c r="A65" s="71"/>
      <c r="B65" s="62" t="s">
        <v>449</v>
      </c>
      <c r="C65" s="63">
        <v>859407.06</v>
      </c>
      <c r="D65" s="63">
        <v>963738</v>
      </c>
      <c r="E65" s="63">
        <v>1041387</v>
      </c>
      <c r="F65" s="27"/>
    </row>
    <row r="66" spans="1:6" ht="15.75" x14ac:dyDescent="0.25">
      <c r="A66" s="71"/>
      <c r="B66" s="62" t="s">
        <v>452</v>
      </c>
      <c r="C66" s="63">
        <v>293677.96000000002</v>
      </c>
      <c r="D66" s="63">
        <f>82837+275366</f>
        <v>358203</v>
      </c>
      <c r="E66" s="63">
        <v>87204</v>
      </c>
      <c r="F66" s="27"/>
    </row>
    <row r="67" spans="1:6" ht="15.75" x14ac:dyDescent="0.25">
      <c r="A67" s="71"/>
      <c r="B67" s="62" t="s">
        <v>450</v>
      </c>
      <c r="C67" s="63">
        <v>0</v>
      </c>
      <c r="D67" s="63">
        <v>0</v>
      </c>
      <c r="E67" s="63">
        <v>0</v>
      </c>
      <c r="F67" s="27"/>
    </row>
    <row r="68" spans="1:6" ht="15.75" x14ac:dyDescent="0.25">
      <c r="A68" s="71"/>
      <c r="B68" s="62" t="s">
        <v>451</v>
      </c>
      <c r="C68" s="63">
        <f>C64-SUM(C65:C67)</f>
        <v>103982.85000000009</v>
      </c>
      <c r="D68" s="63">
        <f>D64-SUM(D65:D67)</f>
        <v>178999</v>
      </c>
      <c r="E68" s="63">
        <v>83659</v>
      </c>
      <c r="F68" s="27"/>
    </row>
    <row r="69" spans="1:6" ht="15.75" x14ac:dyDescent="0.25">
      <c r="A69" s="71" t="s">
        <v>323</v>
      </c>
      <c r="B69" s="8" t="s">
        <v>312</v>
      </c>
      <c r="C69" s="36">
        <v>707801.73</v>
      </c>
      <c r="D69" s="36">
        <v>746697</v>
      </c>
      <c r="E69" s="36">
        <v>761463</v>
      </c>
      <c r="F69" s="27"/>
    </row>
    <row r="70" spans="1:6" ht="15.75" x14ac:dyDescent="0.25">
      <c r="A70" s="71"/>
      <c r="B70" s="62" t="s">
        <v>449</v>
      </c>
      <c r="C70" s="63">
        <v>563640.31000000006</v>
      </c>
      <c r="D70" s="63">
        <v>596801</v>
      </c>
      <c r="E70" s="63">
        <v>630603</v>
      </c>
      <c r="F70" s="27"/>
    </row>
    <row r="71" spans="1:6" ht="15.75" x14ac:dyDescent="0.25">
      <c r="A71" s="71"/>
      <c r="B71" s="62" t="s">
        <v>452</v>
      </c>
      <c r="C71" s="63">
        <v>46536.78</v>
      </c>
      <c r="D71" s="63">
        <f>46995+1351</f>
        <v>48346</v>
      </c>
      <c r="E71" s="63">
        <v>38942</v>
      </c>
      <c r="F71" s="27"/>
    </row>
    <row r="72" spans="1:6" ht="15.75" x14ac:dyDescent="0.25">
      <c r="A72" s="71"/>
      <c r="B72" s="62" t="s">
        <v>450</v>
      </c>
      <c r="C72" s="63">
        <v>0</v>
      </c>
      <c r="D72" s="63">
        <v>0</v>
      </c>
      <c r="E72" s="63">
        <v>0</v>
      </c>
      <c r="F72" s="27"/>
    </row>
    <row r="73" spans="1:6" ht="15.75" x14ac:dyDescent="0.25">
      <c r="A73" s="71"/>
      <c r="B73" s="62" t="s">
        <v>451</v>
      </c>
      <c r="C73" s="63">
        <f>C69-SUM(C70:C72)</f>
        <v>97624.639999999898</v>
      </c>
      <c r="D73" s="63">
        <f>D69-SUM(D70:D72)</f>
        <v>101550</v>
      </c>
      <c r="E73" s="63">
        <v>91918</v>
      </c>
      <c r="F73" s="27"/>
    </row>
    <row r="74" spans="1:6" ht="15.75" x14ac:dyDescent="0.25">
      <c r="A74" s="71" t="s">
        <v>27</v>
      </c>
      <c r="B74" s="8" t="s">
        <v>109</v>
      </c>
      <c r="C74" s="36">
        <v>410962.63</v>
      </c>
      <c r="D74" s="36">
        <v>387631</v>
      </c>
      <c r="E74" s="36">
        <v>433103</v>
      </c>
      <c r="F74" s="27"/>
    </row>
    <row r="75" spans="1:6" ht="15.75" x14ac:dyDescent="0.25">
      <c r="A75" s="71"/>
      <c r="B75" s="62" t="s">
        <v>449</v>
      </c>
      <c r="C75" s="63">
        <v>229469.68</v>
      </c>
      <c r="D75" s="63">
        <v>238170</v>
      </c>
      <c r="E75" s="63">
        <v>244154</v>
      </c>
      <c r="F75" s="27"/>
    </row>
    <row r="76" spans="1:6" ht="15.75" x14ac:dyDescent="0.25">
      <c r="A76" s="71"/>
      <c r="B76" s="62" t="s">
        <v>452</v>
      </c>
      <c r="C76" s="63">
        <v>163609.67000000001</v>
      </c>
      <c r="D76" s="63">
        <f>119448+7199</f>
        <v>126647</v>
      </c>
      <c r="E76" s="63">
        <v>167679</v>
      </c>
      <c r="F76" s="27"/>
    </row>
    <row r="77" spans="1:6" ht="15.75" x14ac:dyDescent="0.25">
      <c r="A77" s="71"/>
      <c r="B77" s="62" t="s">
        <v>450</v>
      </c>
      <c r="C77" s="63">
        <v>0</v>
      </c>
      <c r="D77" s="63">
        <v>0</v>
      </c>
      <c r="E77" s="63">
        <v>0</v>
      </c>
      <c r="F77" s="27"/>
    </row>
    <row r="78" spans="1:6" ht="15.75" x14ac:dyDescent="0.25">
      <c r="A78" s="71"/>
      <c r="B78" s="62" t="s">
        <v>451</v>
      </c>
      <c r="C78" s="63">
        <f>C74-SUM(C75:C77)</f>
        <v>17883.280000000028</v>
      </c>
      <c r="D78" s="63">
        <f>D74-SUM(D75:D77)</f>
        <v>22814</v>
      </c>
      <c r="E78" s="63">
        <v>21270</v>
      </c>
      <c r="F78" s="27"/>
    </row>
    <row r="79" spans="1:6" ht="15.75" x14ac:dyDescent="0.25">
      <c r="A79" s="71" t="s">
        <v>28</v>
      </c>
      <c r="B79" s="8" t="s">
        <v>199</v>
      </c>
      <c r="C79" s="36">
        <v>723208.88</v>
      </c>
      <c r="D79" s="36">
        <f>929391</f>
        <v>929391</v>
      </c>
      <c r="E79" s="36">
        <v>837906</v>
      </c>
      <c r="F79" s="27"/>
    </row>
    <row r="80" spans="1:6" ht="15.75" x14ac:dyDescent="0.25">
      <c r="A80" s="71"/>
      <c r="B80" s="62" t="s">
        <v>449</v>
      </c>
      <c r="C80" s="63">
        <v>572400.07999999996</v>
      </c>
      <c r="D80" s="63">
        <v>749930</v>
      </c>
      <c r="E80" s="63">
        <v>748118</v>
      </c>
      <c r="F80" s="27"/>
    </row>
    <row r="81" spans="1:6" ht="15.75" x14ac:dyDescent="0.25">
      <c r="A81" s="71"/>
      <c r="B81" s="62" t="s">
        <v>452</v>
      </c>
      <c r="C81" s="63">
        <v>139557.81</v>
      </c>
      <c r="D81" s="63">
        <f>72289+81312</f>
        <v>153601</v>
      </c>
      <c r="E81" s="63">
        <v>75624</v>
      </c>
      <c r="F81" s="27"/>
    </row>
    <row r="82" spans="1:6" ht="15.75" x14ac:dyDescent="0.25">
      <c r="A82" s="71"/>
      <c r="B82" s="62" t="s">
        <v>450</v>
      </c>
      <c r="C82" s="63">
        <v>0</v>
      </c>
      <c r="D82" s="63">
        <v>0</v>
      </c>
      <c r="E82" s="63">
        <v>0</v>
      </c>
      <c r="F82" s="27"/>
    </row>
    <row r="83" spans="1:6" ht="15.75" x14ac:dyDescent="0.25">
      <c r="A83" s="71"/>
      <c r="B83" s="62" t="s">
        <v>451</v>
      </c>
      <c r="C83" s="63">
        <f>C79-SUM(C80:C82)</f>
        <v>11250.990000000107</v>
      </c>
      <c r="D83" s="63">
        <f>D79-SUM(D80:D82)</f>
        <v>25860</v>
      </c>
      <c r="E83" s="63">
        <v>14164</v>
      </c>
      <c r="F83" s="27"/>
    </row>
    <row r="84" spans="1:6" ht="15.75" x14ac:dyDescent="0.25">
      <c r="A84" s="71" t="s">
        <v>197</v>
      </c>
      <c r="B84" s="8" t="s">
        <v>200</v>
      </c>
      <c r="C84" s="36">
        <v>212221.52</v>
      </c>
      <c r="D84" s="36">
        <v>287040</v>
      </c>
      <c r="E84" s="36">
        <v>283786</v>
      </c>
      <c r="F84" s="27"/>
    </row>
    <row r="85" spans="1:6" ht="15.75" x14ac:dyDescent="0.25">
      <c r="A85" s="71"/>
      <c r="B85" s="62" t="s">
        <v>449</v>
      </c>
      <c r="C85" s="63">
        <v>183554.23</v>
      </c>
      <c r="D85" s="63">
        <v>255500</v>
      </c>
      <c r="E85" s="63">
        <v>252997</v>
      </c>
      <c r="F85" s="27"/>
    </row>
    <row r="86" spans="1:6" ht="15.75" x14ac:dyDescent="0.25">
      <c r="A86" s="71"/>
      <c r="B86" s="62" t="s">
        <v>452</v>
      </c>
      <c r="C86" s="63">
        <v>15867.77</v>
      </c>
      <c r="D86" s="63">
        <f>14583+1873</f>
        <v>16456</v>
      </c>
      <c r="E86" s="63">
        <v>14066</v>
      </c>
      <c r="F86" s="27"/>
    </row>
    <row r="87" spans="1:6" ht="15.75" x14ac:dyDescent="0.25">
      <c r="A87" s="71"/>
      <c r="B87" s="62" t="s">
        <v>450</v>
      </c>
      <c r="C87" s="63">
        <v>0</v>
      </c>
      <c r="D87" s="63">
        <v>0</v>
      </c>
      <c r="E87" s="63">
        <v>0</v>
      </c>
      <c r="F87" s="27"/>
    </row>
    <row r="88" spans="1:6" ht="15.75" x14ac:dyDescent="0.25">
      <c r="A88" s="71"/>
      <c r="B88" s="62" t="s">
        <v>451</v>
      </c>
      <c r="C88" s="63">
        <f>C84-SUM(C85:C87)</f>
        <v>12799.51999999999</v>
      </c>
      <c r="D88" s="63">
        <f>D84-SUM(D85:D87)</f>
        <v>15084</v>
      </c>
      <c r="E88" s="63">
        <v>16723</v>
      </c>
      <c r="F88" s="27"/>
    </row>
    <row r="89" spans="1:6" ht="15.75" x14ac:dyDescent="0.25">
      <c r="A89" s="71" t="s">
        <v>249</v>
      </c>
      <c r="B89" s="8" t="s">
        <v>34</v>
      </c>
      <c r="C89" s="36">
        <v>6555070.3300000001</v>
      </c>
      <c r="D89" s="36">
        <v>7202293</v>
      </c>
      <c r="E89" s="36">
        <v>7468923</v>
      </c>
      <c r="F89" s="27"/>
    </row>
    <row r="90" spans="1:6" ht="15.75" x14ac:dyDescent="0.25">
      <c r="A90" s="71"/>
      <c r="B90" s="62" t="s">
        <v>449</v>
      </c>
      <c r="C90" s="63">
        <v>5859753.8300000001</v>
      </c>
      <c r="D90" s="63">
        <f>6340359</f>
        <v>6340359</v>
      </c>
      <c r="E90" s="63">
        <v>6728316</v>
      </c>
      <c r="F90" s="27"/>
    </row>
    <row r="91" spans="1:6" ht="15.75" x14ac:dyDescent="0.25">
      <c r="A91" s="71"/>
      <c r="B91" s="62" t="s">
        <v>452</v>
      </c>
      <c r="C91" s="63">
        <v>491832.61</v>
      </c>
      <c r="D91" s="63">
        <f>491246+26223+71834</f>
        <v>589303</v>
      </c>
      <c r="E91" s="63">
        <v>501884</v>
      </c>
      <c r="F91" s="27"/>
    </row>
    <row r="92" spans="1:6" ht="15.75" x14ac:dyDescent="0.25">
      <c r="A92" s="71"/>
      <c r="B92" s="62" t="s">
        <v>450</v>
      </c>
      <c r="C92" s="63">
        <v>7586</v>
      </c>
      <c r="D92" s="63">
        <v>0</v>
      </c>
      <c r="E92" s="63">
        <v>0</v>
      </c>
      <c r="F92" s="27"/>
    </row>
    <row r="93" spans="1:6" ht="15.75" x14ac:dyDescent="0.25">
      <c r="A93" s="71"/>
      <c r="B93" s="62" t="s">
        <v>451</v>
      </c>
      <c r="C93" s="63">
        <f>C89-SUM(C90:C92)</f>
        <v>195897.88999999966</v>
      </c>
      <c r="D93" s="63">
        <f>D89-SUM(D90:D92)</f>
        <v>272631</v>
      </c>
      <c r="E93" s="63">
        <v>238723</v>
      </c>
      <c r="F93" s="27"/>
    </row>
    <row r="94" spans="1:6" ht="15.75" x14ac:dyDescent="0.25">
      <c r="A94" s="71" t="s">
        <v>37</v>
      </c>
      <c r="B94" s="8" t="s">
        <v>38</v>
      </c>
      <c r="C94" s="36">
        <v>1034071.75</v>
      </c>
      <c r="D94" s="36">
        <v>1399804</v>
      </c>
      <c r="E94" s="36">
        <v>1821945</v>
      </c>
      <c r="F94" s="27"/>
    </row>
    <row r="95" spans="1:6" ht="15.75" x14ac:dyDescent="0.25">
      <c r="A95" s="71"/>
      <c r="B95" s="62" t="s">
        <v>449</v>
      </c>
      <c r="C95" s="63">
        <v>57076.4</v>
      </c>
      <c r="D95" s="63">
        <v>694246</v>
      </c>
      <c r="E95" s="63">
        <v>615805</v>
      </c>
      <c r="F95" s="27"/>
    </row>
    <row r="96" spans="1:6" ht="15.75" x14ac:dyDescent="0.25">
      <c r="A96" s="71"/>
      <c r="B96" s="62" t="s">
        <v>452</v>
      </c>
      <c r="C96" s="63">
        <v>0</v>
      </c>
      <c r="D96" s="63">
        <v>0</v>
      </c>
      <c r="E96" s="63">
        <v>496000</v>
      </c>
      <c r="F96" s="27"/>
    </row>
    <row r="97" spans="1:6" ht="15.75" x14ac:dyDescent="0.25">
      <c r="A97" s="71"/>
      <c r="B97" s="62" t="s">
        <v>450</v>
      </c>
      <c r="C97" s="63">
        <v>0</v>
      </c>
      <c r="D97" s="63">
        <v>0</v>
      </c>
      <c r="E97" s="63">
        <v>0</v>
      </c>
      <c r="F97" s="27"/>
    </row>
    <row r="98" spans="1:6" ht="15.75" x14ac:dyDescent="0.25">
      <c r="A98" s="71"/>
      <c r="B98" s="62" t="s">
        <v>451</v>
      </c>
      <c r="C98" s="63">
        <f>C94-SUM(C95:C97)</f>
        <v>976995.35</v>
      </c>
      <c r="D98" s="63">
        <f>D94-SUM(D95:D97)</f>
        <v>705558</v>
      </c>
      <c r="E98" s="63">
        <v>710140</v>
      </c>
      <c r="F98" s="27"/>
    </row>
    <row r="99" spans="1:6" ht="15.75" x14ac:dyDescent="0.25">
      <c r="A99" s="71" t="s">
        <v>39</v>
      </c>
      <c r="B99" s="8" t="s">
        <v>40</v>
      </c>
      <c r="C99" s="36">
        <v>5118713.5</v>
      </c>
      <c r="D99" s="36">
        <v>6551025</v>
      </c>
      <c r="E99" s="36">
        <v>5904011</v>
      </c>
      <c r="F99" s="27"/>
    </row>
    <row r="100" spans="1:6" ht="15.75" x14ac:dyDescent="0.25">
      <c r="A100" s="71"/>
      <c r="B100" s="62" t="s">
        <v>451</v>
      </c>
      <c r="C100" s="63">
        <f>C99</f>
        <v>5118713.5</v>
      </c>
      <c r="D100" s="63">
        <f>D99</f>
        <v>6551025</v>
      </c>
      <c r="E100" s="63">
        <v>5904011</v>
      </c>
      <c r="F100" s="27"/>
    </row>
    <row r="101" spans="1:6" ht="15.75" x14ac:dyDescent="0.25">
      <c r="A101" s="71" t="s">
        <v>41</v>
      </c>
      <c r="B101" s="8" t="s">
        <v>42</v>
      </c>
      <c r="C101" s="36">
        <v>1075960.7</v>
      </c>
      <c r="D101" s="36">
        <v>877810</v>
      </c>
      <c r="E101" s="36">
        <v>1483226</v>
      </c>
      <c r="F101" s="27"/>
    </row>
    <row r="102" spans="1:6" ht="15.75" x14ac:dyDescent="0.25">
      <c r="A102" s="71"/>
      <c r="B102" s="62" t="s">
        <v>449</v>
      </c>
      <c r="C102" s="63">
        <v>356815.18</v>
      </c>
      <c r="D102" s="63">
        <v>351457</v>
      </c>
      <c r="E102" s="63">
        <v>443079</v>
      </c>
      <c r="F102" s="27"/>
    </row>
    <row r="103" spans="1:6" ht="15.75" x14ac:dyDescent="0.25">
      <c r="A103" s="71"/>
      <c r="B103" s="62" t="s">
        <v>452</v>
      </c>
      <c r="C103" s="63">
        <v>233427</v>
      </c>
      <c r="D103" s="63">
        <f>118911+108066</f>
        <v>226977</v>
      </c>
      <c r="E103" s="63">
        <v>187552</v>
      </c>
      <c r="F103" s="27"/>
    </row>
    <row r="104" spans="1:6" ht="15.75" x14ac:dyDescent="0.25">
      <c r="A104" s="71"/>
      <c r="B104" s="62" t="s">
        <v>450</v>
      </c>
      <c r="C104" s="63">
        <v>0</v>
      </c>
      <c r="D104" s="63">
        <v>0</v>
      </c>
      <c r="E104" s="63">
        <v>0</v>
      </c>
      <c r="F104" s="27"/>
    </row>
    <row r="105" spans="1:6" ht="15.75" x14ac:dyDescent="0.25">
      <c r="A105" s="71"/>
      <c r="B105" s="62" t="s">
        <v>451</v>
      </c>
      <c r="C105" s="63">
        <f>C101-SUM(C102:C104)</f>
        <v>485718.52</v>
      </c>
      <c r="D105" s="63">
        <f>D101-SUM(D102:D104)</f>
        <v>299376</v>
      </c>
      <c r="E105" s="63">
        <v>852595</v>
      </c>
      <c r="F105" s="27"/>
    </row>
    <row r="106" spans="1:6" ht="15.75" x14ac:dyDescent="0.25">
      <c r="A106" s="67" t="s">
        <v>324</v>
      </c>
      <c r="B106" s="8" t="s">
        <v>325</v>
      </c>
      <c r="C106" s="36">
        <v>728355.28</v>
      </c>
      <c r="D106" s="36">
        <v>904375</v>
      </c>
      <c r="E106" s="36">
        <v>908478</v>
      </c>
      <c r="F106" s="27"/>
    </row>
    <row r="107" spans="1:6" ht="15.75" x14ac:dyDescent="0.25">
      <c r="A107" s="67"/>
      <c r="B107" s="62" t="s">
        <v>449</v>
      </c>
      <c r="C107" s="63">
        <v>546235.4</v>
      </c>
      <c r="D107" s="63">
        <f>689952</f>
        <v>689952</v>
      </c>
      <c r="E107" s="63">
        <v>747422</v>
      </c>
      <c r="F107" s="27"/>
    </row>
    <row r="108" spans="1:6" ht="15.75" x14ac:dyDescent="0.25">
      <c r="A108" s="67"/>
      <c r="B108" s="62" t="s">
        <v>452</v>
      </c>
      <c r="C108" s="63">
        <v>106327.58</v>
      </c>
      <c r="D108" s="63">
        <f>86465+40420</f>
        <v>126885</v>
      </c>
      <c r="E108" s="63">
        <v>103881</v>
      </c>
      <c r="F108" s="27"/>
    </row>
    <row r="109" spans="1:6" ht="15.75" x14ac:dyDescent="0.25">
      <c r="A109" s="67"/>
      <c r="B109" s="62" t="s">
        <v>450</v>
      </c>
      <c r="C109" s="63">
        <v>0</v>
      </c>
      <c r="D109" s="63">
        <v>0</v>
      </c>
      <c r="E109" s="63">
        <v>0</v>
      </c>
      <c r="F109" s="27"/>
    </row>
    <row r="110" spans="1:6" ht="16.5" thickBot="1" x14ac:dyDescent="0.3">
      <c r="A110" s="67"/>
      <c r="B110" s="62" t="s">
        <v>451</v>
      </c>
      <c r="C110" s="63">
        <f>C106-SUM(C107:C109)</f>
        <v>75792.300000000047</v>
      </c>
      <c r="D110" s="63">
        <f>D106-SUM(D107:D109)</f>
        <v>87538</v>
      </c>
      <c r="E110" s="63">
        <v>57175</v>
      </c>
      <c r="F110" s="27"/>
    </row>
    <row r="111" spans="1:6" ht="21" thickTop="1" thickBot="1" x14ac:dyDescent="0.45">
      <c r="A111" s="67"/>
      <c r="B111" s="64" t="s">
        <v>453</v>
      </c>
      <c r="C111" s="39"/>
      <c r="D111" s="39"/>
      <c r="E111" s="39"/>
      <c r="F111" s="27"/>
    </row>
    <row r="112" spans="1:6" ht="16.5" thickTop="1" x14ac:dyDescent="0.25">
      <c r="A112" s="71" t="s">
        <v>246</v>
      </c>
      <c r="B112" s="8" t="s">
        <v>285</v>
      </c>
      <c r="C112" s="36">
        <v>15689356.949999999</v>
      </c>
      <c r="D112" s="36">
        <f>15910931+661192</f>
        <v>16572123</v>
      </c>
      <c r="E112" s="36">
        <v>16887716</v>
      </c>
      <c r="F112" s="27"/>
    </row>
    <row r="113" spans="1:6" ht="15.75" x14ac:dyDescent="0.25">
      <c r="A113" s="71"/>
      <c r="B113" s="62" t="s">
        <v>454</v>
      </c>
      <c r="C113" s="63">
        <f>12111437.94-506609.05</f>
        <v>11604828.889999999</v>
      </c>
      <c r="D113" s="63">
        <f>12592478+181552-533212</f>
        <v>12240818</v>
      </c>
      <c r="E113" s="63">
        <v>12435244</v>
      </c>
      <c r="F113" s="27"/>
    </row>
    <row r="114" spans="1:6" ht="15.75" x14ac:dyDescent="0.25">
      <c r="A114" s="71"/>
      <c r="B114" s="62" t="s">
        <v>455</v>
      </c>
      <c r="C114" s="63">
        <v>506609.05</v>
      </c>
      <c r="D114" s="63">
        <f>497239+35973</f>
        <v>533212</v>
      </c>
      <c r="E114" s="63">
        <v>498070</v>
      </c>
      <c r="F114" s="27"/>
    </row>
    <row r="115" spans="1:6" ht="15.75" x14ac:dyDescent="0.25">
      <c r="A115" s="71"/>
      <c r="B115" s="62" t="s">
        <v>452</v>
      </c>
      <c r="C115" s="63">
        <f>2305059.13+171315</f>
        <v>2476374.13</v>
      </c>
      <c r="D115" s="63">
        <f>2496800+24776+207000</f>
        <v>2728576</v>
      </c>
      <c r="E115" s="63">
        <v>2992153</v>
      </c>
      <c r="F115" s="27"/>
    </row>
    <row r="116" spans="1:6" ht="15.75" x14ac:dyDescent="0.25">
      <c r="A116" s="71"/>
      <c r="B116" s="62" t="s">
        <v>450</v>
      </c>
      <c r="C116" s="63">
        <v>79202.320000000007</v>
      </c>
      <c r="D116" s="63">
        <v>21054</v>
      </c>
      <c r="E116" s="63">
        <v>10500</v>
      </c>
      <c r="F116" s="27"/>
    </row>
    <row r="117" spans="1:6" ht="15.75" x14ac:dyDescent="0.25">
      <c r="A117" s="71"/>
      <c r="B117" s="62" t="s">
        <v>451</v>
      </c>
      <c r="C117" s="63">
        <f>C112-SUM(C113:C116)</f>
        <v>1022342.5599999987</v>
      </c>
      <c r="D117" s="63">
        <f>D112-SUM(D113:D116)</f>
        <v>1048463</v>
      </c>
      <c r="E117" s="63">
        <v>951749</v>
      </c>
      <c r="F117" s="27"/>
    </row>
    <row r="118" spans="1:6" ht="15.75" x14ac:dyDescent="0.25">
      <c r="A118" s="67" t="s">
        <v>375</v>
      </c>
      <c r="B118" s="8" t="s">
        <v>376</v>
      </c>
      <c r="C118" s="36">
        <v>2107482.41</v>
      </c>
      <c r="D118" s="36">
        <f>2341509+34868</f>
        <v>2376377</v>
      </c>
      <c r="E118" s="36">
        <v>2136673</v>
      </c>
      <c r="F118" s="27"/>
    </row>
    <row r="119" spans="1:6" ht="15.75" x14ac:dyDescent="0.25">
      <c r="A119" s="67"/>
      <c r="B119" s="62" t="s">
        <v>454</v>
      </c>
      <c r="C119" s="63">
        <f>1190658.78-340457.89</f>
        <v>850200.89</v>
      </c>
      <c r="D119" s="63">
        <f>1289634+60938-D120</f>
        <v>950910</v>
      </c>
      <c r="E119" s="63">
        <v>882822</v>
      </c>
      <c r="F119" s="27"/>
    </row>
    <row r="120" spans="1:6" ht="15.75" x14ac:dyDescent="0.25">
      <c r="A120" s="67"/>
      <c r="B120" s="62" t="s">
        <v>455</v>
      </c>
      <c r="C120" s="63">
        <v>340457.89</v>
      </c>
      <c r="D120" s="63">
        <f>439862-40200</f>
        <v>399662</v>
      </c>
      <c r="E120" s="63">
        <v>438900</v>
      </c>
      <c r="F120" s="27"/>
    </row>
    <row r="121" spans="1:6" ht="15.75" x14ac:dyDescent="0.25">
      <c r="A121" s="67"/>
      <c r="B121" s="62" t="s">
        <v>452</v>
      </c>
      <c r="C121" s="63">
        <v>385253.87</v>
      </c>
      <c r="D121" s="63">
        <f>438281+19669</f>
        <v>457950</v>
      </c>
      <c r="E121" s="63">
        <v>505561</v>
      </c>
      <c r="F121" s="27"/>
    </row>
    <row r="122" spans="1:6" ht="15.75" x14ac:dyDescent="0.25">
      <c r="A122" s="67"/>
      <c r="B122" s="62" t="s">
        <v>450</v>
      </c>
      <c r="C122" s="63">
        <v>0</v>
      </c>
      <c r="D122" s="63">
        <v>4073</v>
      </c>
      <c r="E122" s="63">
        <v>0</v>
      </c>
      <c r="F122" s="27"/>
    </row>
    <row r="123" spans="1:6" ht="15.75" x14ac:dyDescent="0.25">
      <c r="A123" s="67"/>
      <c r="B123" s="62" t="s">
        <v>451</v>
      </c>
      <c r="C123" s="63">
        <f>C118-SUM(C119:C122)</f>
        <v>531569.76000000024</v>
      </c>
      <c r="D123" s="63">
        <f>D118-SUM(D119:D122)</f>
        <v>563782</v>
      </c>
      <c r="E123" s="63">
        <v>309390</v>
      </c>
      <c r="F123" s="27"/>
    </row>
    <row r="124" spans="1:6" ht="15.75" x14ac:dyDescent="0.25">
      <c r="A124" s="71" t="s">
        <v>247</v>
      </c>
      <c r="B124" s="8" t="s">
        <v>286</v>
      </c>
      <c r="C124" s="36">
        <v>25746986.449999999</v>
      </c>
      <c r="D124" s="36">
        <f>25981545+1537865</f>
        <v>27519410</v>
      </c>
      <c r="E124" s="36">
        <v>28465269</v>
      </c>
      <c r="F124" s="27"/>
    </row>
    <row r="125" spans="1:6" ht="15.75" x14ac:dyDescent="0.25">
      <c r="A125" s="71"/>
      <c r="B125" s="62" t="s">
        <v>454</v>
      </c>
      <c r="C125" s="63">
        <f>18991305.12-1828234.06</f>
        <v>17163071.060000002</v>
      </c>
      <c r="D125" s="63">
        <f>18581406+834310-1139041</f>
        <v>18276675</v>
      </c>
      <c r="E125" s="63">
        <v>19220537</v>
      </c>
      <c r="F125" s="27"/>
    </row>
    <row r="126" spans="1:6" ht="15.75" x14ac:dyDescent="0.25">
      <c r="A126" s="71"/>
      <c r="B126" s="62" t="s">
        <v>455</v>
      </c>
      <c r="C126" s="63">
        <v>1828234.06</v>
      </c>
      <c r="D126" s="63">
        <f>836052+302989</f>
        <v>1139041</v>
      </c>
      <c r="E126" s="63">
        <v>1835881</v>
      </c>
      <c r="F126" s="27"/>
    </row>
    <row r="127" spans="1:6" ht="15.75" x14ac:dyDescent="0.25">
      <c r="A127" s="71"/>
      <c r="B127" s="62" t="s">
        <v>452</v>
      </c>
      <c r="C127" s="63">
        <f>5021338.26+320553</f>
        <v>5341891.26</v>
      </c>
      <c r="D127" s="63">
        <f>5617736+381677+255000</f>
        <v>6254413</v>
      </c>
      <c r="E127" s="63">
        <v>6259341</v>
      </c>
      <c r="F127" s="27"/>
    </row>
    <row r="128" spans="1:6" ht="15.75" x14ac:dyDescent="0.25">
      <c r="A128" s="71"/>
      <c r="B128" s="62" t="s">
        <v>450</v>
      </c>
      <c r="C128" s="63">
        <v>7942.18</v>
      </c>
      <c r="D128" s="63">
        <v>975</v>
      </c>
      <c r="E128" s="63">
        <v>0</v>
      </c>
      <c r="F128" s="27"/>
    </row>
    <row r="129" spans="1:6" ht="15.75" x14ac:dyDescent="0.25">
      <c r="A129" s="71"/>
      <c r="B129" s="62" t="s">
        <v>451</v>
      </c>
      <c r="C129" s="63">
        <f>C124-SUM(C125:C128)</f>
        <v>1405847.8899999969</v>
      </c>
      <c r="D129" s="63">
        <f>D124-SUM(D125:D128)</f>
        <v>1848306</v>
      </c>
      <c r="E129" s="63">
        <v>1149510</v>
      </c>
      <c r="F129" s="27"/>
    </row>
    <row r="130" spans="1:6" ht="15.75" x14ac:dyDescent="0.25">
      <c r="A130" s="71" t="s">
        <v>59</v>
      </c>
      <c r="B130" s="8" t="s">
        <v>356</v>
      </c>
      <c r="C130" s="36">
        <v>797789.35</v>
      </c>
      <c r="D130" s="36">
        <v>873689</v>
      </c>
      <c r="E130" s="36">
        <v>854013</v>
      </c>
      <c r="F130" s="27"/>
    </row>
    <row r="131" spans="1:6" ht="15.75" x14ac:dyDescent="0.25">
      <c r="A131" s="71"/>
      <c r="B131" s="62" t="s">
        <v>449</v>
      </c>
      <c r="C131" s="63">
        <v>339611.39</v>
      </c>
      <c r="D131" s="63">
        <v>351715</v>
      </c>
      <c r="E131" s="63">
        <v>380034</v>
      </c>
      <c r="F131" s="27"/>
    </row>
    <row r="132" spans="1:6" ht="15.75" x14ac:dyDescent="0.25">
      <c r="A132" s="71"/>
      <c r="B132" s="62" t="s">
        <v>452</v>
      </c>
      <c r="C132" s="63">
        <v>211496.31</v>
      </c>
      <c r="D132" s="63">
        <f>200165+6579</f>
        <v>206744</v>
      </c>
      <c r="E132" s="63">
        <v>256504</v>
      </c>
      <c r="F132" s="27"/>
    </row>
    <row r="133" spans="1:6" ht="15.75" x14ac:dyDescent="0.25">
      <c r="A133" s="71"/>
      <c r="B133" s="62" t="s">
        <v>450</v>
      </c>
      <c r="C133" s="63">
        <v>0</v>
      </c>
      <c r="D133" s="63">
        <v>0</v>
      </c>
      <c r="E133" s="63">
        <v>0</v>
      </c>
      <c r="F133" s="27"/>
    </row>
    <row r="134" spans="1:6" ht="15.75" x14ac:dyDescent="0.25">
      <c r="A134" s="71"/>
      <c r="B134" s="62" t="s">
        <v>451</v>
      </c>
      <c r="C134" s="63">
        <f>C130-SUM(C131:C133)</f>
        <v>246681.65000000002</v>
      </c>
      <c r="D134" s="63">
        <f>D130-SUM(D131:D133)</f>
        <v>315230</v>
      </c>
      <c r="E134" s="63">
        <v>217475</v>
      </c>
      <c r="F134" s="27"/>
    </row>
    <row r="135" spans="1:6" ht="15.75" x14ac:dyDescent="0.25">
      <c r="A135" s="71" t="s">
        <v>43</v>
      </c>
      <c r="B135" s="65" t="s">
        <v>522</v>
      </c>
      <c r="C135" s="36">
        <v>12902</v>
      </c>
      <c r="D135" s="36">
        <v>30000</v>
      </c>
      <c r="E135" s="36">
        <v>20000</v>
      </c>
      <c r="F135" s="27"/>
    </row>
    <row r="136" spans="1:6" ht="15.75" x14ac:dyDescent="0.25">
      <c r="A136" s="71"/>
      <c r="B136" s="62" t="s">
        <v>451</v>
      </c>
      <c r="C136" s="63">
        <f>C135</f>
        <v>12902</v>
      </c>
      <c r="D136" s="63">
        <f>D135</f>
        <v>30000</v>
      </c>
      <c r="E136" s="63">
        <v>20000</v>
      </c>
      <c r="F136" s="27"/>
    </row>
    <row r="137" spans="1:6" ht="15.75" x14ac:dyDescent="0.25">
      <c r="A137" s="71" t="s">
        <v>44</v>
      </c>
      <c r="B137" s="19" t="s">
        <v>284</v>
      </c>
      <c r="C137" s="36">
        <v>403683.22</v>
      </c>
      <c r="D137" s="36">
        <v>609047</v>
      </c>
      <c r="E137" s="36">
        <v>597755</v>
      </c>
      <c r="F137" s="27"/>
    </row>
    <row r="138" spans="1:6" ht="15.75" x14ac:dyDescent="0.25">
      <c r="A138" s="71"/>
      <c r="B138" s="62" t="s">
        <v>449</v>
      </c>
      <c r="C138" s="63">
        <v>238819.14</v>
      </c>
      <c r="D138" s="63">
        <v>375925</v>
      </c>
      <c r="E138" s="63">
        <v>373898</v>
      </c>
      <c r="F138" s="27"/>
    </row>
    <row r="139" spans="1:6" ht="15.75" x14ac:dyDescent="0.25">
      <c r="A139" s="71"/>
      <c r="B139" s="62" t="s">
        <v>452</v>
      </c>
      <c r="C139" s="63">
        <v>149045.12</v>
      </c>
      <c r="D139" s="63">
        <f>211242+1033</f>
        <v>212275</v>
      </c>
      <c r="E139" s="63">
        <v>171782</v>
      </c>
      <c r="F139" s="27"/>
    </row>
    <row r="140" spans="1:6" ht="15.75" x14ac:dyDescent="0.25">
      <c r="A140" s="71"/>
      <c r="B140" s="62" t="s">
        <v>450</v>
      </c>
      <c r="C140" s="63">
        <v>0</v>
      </c>
      <c r="D140" s="63">
        <v>0</v>
      </c>
      <c r="E140" s="63">
        <v>0</v>
      </c>
      <c r="F140" s="27"/>
    </row>
    <row r="141" spans="1:6" ht="15.75" x14ac:dyDescent="0.25">
      <c r="A141" s="71"/>
      <c r="B141" s="62" t="s">
        <v>451</v>
      </c>
      <c r="C141" s="63">
        <f>C137-SUM(C138:C140)</f>
        <v>15818.959999999963</v>
      </c>
      <c r="D141" s="63">
        <f>D137-SUM(D138:D140)</f>
        <v>20847</v>
      </c>
      <c r="E141" s="63">
        <v>52075</v>
      </c>
      <c r="F141" s="27"/>
    </row>
    <row r="142" spans="1:6" ht="15.75" x14ac:dyDescent="0.25">
      <c r="A142" s="71" t="s">
        <v>241</v>
      </c>
      <c r="B142" s="8" t="s">
        <v>287</v>
      </c>
      <c r="C142" s="36">
        <v>140446.10999999999</v>
      </c>
      <c r="D142" s="36">
        <v>254854</v>
      </c>
      <c r="E142" s="36">
        <v>247118</v>
      </c>
      <c r="F142" s="27"/>
    </row>
    <row r="143" spans="1:6" ht="15.75" x14ac:dyDescent="0.25">
      <c r="A143" s="71"/>
      <c r="B143" s="62" t="s">
        <v>449</v>
      </c>
      <c r="C143" s="63">
        <v>87751.02</v>
      </c>
      <c r="D143" s="63">
        <v>179662</v>
      </c>
      <c r="E143" s="63">
        <v>163180</v>
      </c>
      <c r="F143" s="27"/>
    </row>
    <row r="144" spans="1:6" ht="15.75" x14ac:dyDescent="0.25">
      <c r="A144" s="71"/>
      <c r="B144" s="62" t="s">
        <v>452</v>
      </c>
      <c r="C144" s="63">
        <v>48965.18</v>
      </c>
      <c r="D144" s="63">
        <f>64635+3320</f>
        <v>67955</v>
      </c>
      <c r="E144" s="63">
        <v>53838</v>
      </c>
      <c r="F144" s="27"/>
    </row>
    <row r="145" spans="1:6" ht="15.75" x14ac:dyDescent="0.25">
      <c r="A145" s="71"/>
      <c r="B145" s="62" t="s">
        <v>450</v>
      </c>
      <c r="C145" s="63">
        <v>0</v>
      </c>
      <c r="D145" s="63">
        <v>0</v>
      </c>
      <c r="E145" s="63">
        <v>0</v>
      </c>
      <c r="F145" s="27"/>
    </row>
    <row r="146" spans="1:6" ht="15.75" x14ac:dyDescent="0.25">
      <c r="A146" s="71"/>
      <c r="B146" s="62" t="s">
        <v>451</v>
      </c>
      <c r="C146" s="63">
        <f>C142-SUM(C143:C145)</f>
        <v>3729.9099999999744</v>
      </c>
      <c r="D146" s="63">
        <f>D142-SUM(D143:D145)</f>
        <v>7237</v>
      </c>
      <c r="E146" s="63">
        <v>30100</v>
      </c>
      <c r="F146" s="27"/>
    </row>
    <row r="147" spans="1:6" ht="15.75" x14ac:dyDescent="0.25">
      <c r="A147" s="71" t="s">
        <v>242</v>
      </c>
      <c r="B147" s="8" t="s">
        <v>310</v>
      </c>
      <c r="C147" s="36">
        <v>569574.97</v>
      </c>
      <c r="D147" s="36">
        <v>674386</v>
      </c>
      <c r="E147" s="36">
        <v>685047</v>
      </c>
      <c r="F147" s="27"/>
    </row>
    <row r="148" spans="1:6" ht="15.75" x14ac:dyDescent="0.25">
      <c r="A148" s="71"/>
      <c r="B148" s="62" t="s">
        <v>449</v>
      </c>
      <c r="C148" s="63">
        <v>487985.21</v>
      </c>
      <c r="D148" s="63">
        <v>566922</v>
      </c>
      <c r="E148" s="63">
        <v>573055</v>
      </c>
      <c r="F148" s="27"/>
    </row>
    <row r="149" spans="1:6" ht="15.75" x14ac:dyDescent="0.25">
      <c r="A149" s="71"/>
      <c r="B149" s="62" t="s">
        <v>452</v>
      </c>
      <c r="C149" s="63">
        <v>66463.600000000006</v>
      </c>
      <c r="D149" s="63">
        <f>69648+25258</f>
        <v>94906</v>
      </c>
      <c r="E149" s="63">
        <v>79914</v>
      </c>
      <c r="F149" s="27"/>
    </row>
    <row r="150" spans="1:6" ht="15.75" x14ac:dyDescent="0.25">
      <c r="A150" s="71"/>
      <c r="B150" s="62" t="s">
        <v>450</v>
      </c>
      <c r="C150" s="63">
        <v>0</v>
      </c>
      <c r="D150" s="63">
        <v>0</v>
      </c>
      <c r="E150" s="63">
        <v>10085</v>
      </c>
      <c r="F150" s="27"/>
    </row>
    <row r="151" spans="1:6" ht="15.75" x14ac:dyDescent="0.25">
      <c r="A151" s="71"/>
      <c r="B151" s="62" t="s">
        <v>451</v>
      </c>
      <c r="C151" s="63">
        <f>C147-SUM(C148:C150)</f>
        <v>15126.159999999916</v>
      </c>
      <c r="D151" s="63">
        <f>D147-SUM(D148:D150)</f>
        <v>12558</v>
      </c>
      <c r="E151" s="63">
        <v>21993</v>
      </c>
      <c r="F151" s="27"/>
    </row>
    <row r="152" spans="1:6" ht="15.75" x14ac:dyDescent="0.25">
      <c r="A152" s="71" t="s">
        <v>201</v>
      </c>
      <c r="B152" s="8" t="s">
        <v>202</v>
      </c>
      <c r="C152" s="36">
        <v>94577.03</v>
      </c>
      <c r="D152" s="36">
        <v>100000</v>
      </c>
      <c r="E152" s="36">
        <v>80500</v>
      </c>
      <c r="F152" s="27"/>
    </row>
    <row r="153" spans="1:6" ht="15.75" x14ac:dyDescent="0.25">
      <c r="A153" s="71"/>
      <c r="B153" s="62" t="s">
        <v>449</v>
      </c>
      <c r="C153" s="63">
        <v>0</v>
      </c>
      <c r="D153" s="63">
        <v>0</v>
      </c>
      <c r="E153" s="63">
        <v>0</v>
      </c>
      <c r="F153" s="27"/>
    </row>
    <row r="154" spans="1:6" ht="15.75" x14ac:dyDescent="0.25">
      <c r="A154" s="71"/>
      <c r="B154" s="62" t="s">
        <v>451</v>
      </c>
      <c r="C154" s="63">
        <f>C152-C153</f>
        <v>94577.03</v>
      </c>
      <c r="D154" s="63">
        <f>D152-D153</f>
        <v>100000</v>
      </c>
      <c r="E154" s="63">
        <v>80500</v>
      </c>
      <c r="F154" s="27"/>
    </row>
    <row r="155" spans="1:6" ht="15.75" x14ac:dyDescent="0.25">
      <c r="A155" s="71" t="s">
        <v>46</v>
      </c>
      <c r="B155" s="8" t="s">
        <v>47</v>
      </c>
      <c r="C155" s="36">
        <v>327580.55</v>
      </c>
      <c r="D155" s="36">
        <v>357038</v>
      </c>
      <c r="E155" s="36">
        <v>361862</v>
      </c>
      <c r="F155" s="27"/>
    </row>
    <row r="156" spans="1:6" ht="15.75" x14ac:dyDescent="0.25">
      <c r="A156" s="71"/>
      <c r="B156" s="62" t="s">
        <v>449</v>
      </c>
      <c r="C156" s="63">
        <v>170292.13</v>
      </c>
      <c r="D156" s="63">
        <v>194247</v>
      </c>
      <c r="E156" s="63">
        <v>202438</v>
      </c>
      <c r="F156" s="27"/>
    </row>
    <row r="157" spans="1:6" ht="15.75" x14ac:dyDescent="0.25">
      <c r="A157" s="71"/>
      <c r="B157" s="62" t="s">
        <v>452</v>
      </c>
      <c r="C157" s="63">
        <v>136587.1</v>
      </c>
      <c r="D157" s="63">
        <f>124873+7435</f>
        <v>132308</v>
      </c>
      <c r="E157" s="63">
        <v>128139</v>
      </c>
      <c r="F157" s="27"/>
    </row>
    <row r="158" spans="1:6" ht="15.75" x14ac:dyDescent="0.25">
      <c r="A158" s="71"/>
      <c r="B158" s="62" t="s">
        <v>450</v>
      </c>
      <c r="C158" s="63">
        <v>0</v>
      </c>
      <c r="D158" s="63">
        <v>0</v>
      </c>
      <c r="E158" s="63">
        <v>6950</v>
      </c>
      <c r="F158" s="27"/>
    </row>
    <row r="159" spans="1:6" ht="15.75" x14ac:dyDescent="0.25">
      <c r="A159" s="71"/>
      <c r="B159" s="62" t="s">
        <v>451</v>
      </c>
      <c r="C159" s="63">
        <f>C155-SUM(C156:C158)</f>
        <v>20701.320000000007</v>
      </c>
      <c r="D159" s="63">
        <f>D155-SUM(D156:D158)</f>
        <v>30483</v>
      </c>
      <c r="E159" s="63">
        <v>24335</v>
      </c>
      <c r="F159" s="27"/>
    </row>
    <row r="160" spans="1:6" ht="15.75" x14ac:dyDescent="0.25">
      <c r="A160" s="71" t="s">
        <v>48</v>
      </c>
      <c r="B160" s="8" t="s">
        <v>49</v>
      </c>
      <c r="C160" s="36">
        <v>57211</v>
      </c>
      <c r="D160" s="36">
        <f>64428+1897</f>
        <v>66325</v>
      </c>
      <c r="E160" s="36">
        <v>67916</v>
      </c>
      <c r="F160" s="27"/>
    </row>
    <row r="161" spans="1:6" ht="15.75" x14ac:dyDescent="0.25">
      <c r="A161" s="71"/>
      <c r="B161" s="62" t="s">
        <v>452</v>
      </c>
      <c r="C161" s="63">
        <v>26656.5</v>
      </c>
      <c r="D161" s="63">
        <f>28565+1897</f>
        <v>30462</v>
      </c>
      <c r="E161" s="63">
        <v>29916</v>
      </c>
      <c r="F161" s="27"/>
    </row>
    <row r="162" spans="1:6" ht="15.75" x14ac:dyDescent="0.25">
      <c r="A162" s="71"/>
      <c r="B162" s="62" t="s">
        <v>451</v>
      </c>
      <c r="C162" s="63">
        <f>C160-C161</f>
        <v>30554.5</v>
      </c>
      <c r="D162" s="63">
        <f>D160-D161</f>
        <v>35863</v>
      </c>
      <c r="E162" s="63">
        <v>38000</v>
      </c>
      <c r="F162" s="27"/>
    </row>
    <row r="163" spans="1:6" ht="15.75" x14ac:dyDescent="0.25">
      <c r="A163" s="71" t="s">
        <v>193</v>
      </c>
      <c r="B163" s="69" t="s">
        <v>506</v>
      </c>
      <c r="C163" s="36">
        <v>437127.04</v>
      </c>
      <c r="D163" s="36">
        <v>470195</v>
      </c>
      <c r="E163" s="36">
        <v>470195</v>
      </c>
      <c r="F163" s="27"/>
    </row>
    <row r="164" spans="1:6" ht="15.75" x14ac:dyDescent="0.25">
      <c r="A164" s="71" t="s">
        <v>193</v>
      </c>
      <c r="B164" s="12" t="s">
        <v>400</v>
      </c>
      <c r="C164" s="36">
        <v>52.8</v>
      </c>
      <c r="D164" s="36">
        <v>500</v>
      </c>
      <c r="E164" s="36">
        <v>500</v>
      </c>
      <c r="F164" s="27"/>
    </row>
    <row r="165" spans="1:6" ht="15.75" x14ac:dyDescent="0.25">
      <c r="A165" s="71" t="s">
        <v>193</v>
      </c>
      <c r="B165" s="12" t="s">
        <v>110</v>
      </c>
      <c r="C165" s="36">
        <v>2588336.41</v>
      </c>
      <c r="D165" s="36">
        <v>2648524</v>
      </c>
      <c r="E165" s="36">
        <v>2249223</v>
      </c>
      <c r="F165" s="27"/>
    </row>
    <row r="166" spans="1:6" ht="15.75" x14ac:dyDescent="0.25">
      <c r="A166" s="71" t="s">
        <v>193</v>
      </c>
      <c r="B166" s="69" t="s">
        <v>508</v>
      </c>
      <c r="C166" s="36">
        <v>0</v>
      </c>
      <c r="D166" s="36">
        <v>949650</v>
      </c>
      <c r="E166" s="36">
        <v>0</v>
      </c>
      <c r="F166" s="27"/>
    </row>
    <row r="167" spans="1:6" ht="15.75" x14ac:dyDescent="0.25">
      <c r="A167" s="71" t="s">
        <v>193</v>
      </c>
      <c r="B167" s="12" t="s">
        <v>111</v>
      </c>
      <c r="C167" s="36">
        <v>109746.17</v>
      </c>
      <c r="D167" s="36">
        <v>117658</v>
      </c>
      <c r="E167" s="36">
        <v>150838</v>
      </c>
      <c r="F167" s="27"/>
    </row>
    <row r="168" spans="1:6" ht="15.75" x14ac:dyDescent="0.25">
      <c r="A168" s="71" t="s">
        <v>193</v>
      </c>
      <c r="B168" s="12" t="s">
        <v>401</v>
      </c>
      <c r="C168" s="36">
        <v>197831.59</v>
      </c>
      <c r="D168" s="36">
        <v>75537</v>
      </c>
      <c r="E168" s="36">
        <v>0</v>
      </c>
      <c r="F168" s="27"/>
    </row>
    <row r="169" spans="1:6" ht="15.75" x14ac:dyDescent="0.25">
      <c r="A169" s="71" t="s">
        <v>193</v>
      </c>
      <c r="B169" s="69" t="s">
        <v>505</v>
      </c>
      <c r="C169" s="36">
        <v>159476.1</v>
      </c>
      <c r="D169" s="36">
        <v>0</v>
      </c>
      <c r="E169" s="36">
        <v>0</v>
      </c>
      <c r="F169" s="27"/>
    </row>
    <row r="170" spans="1:6" ht="15.75" x14ac:dyDescent="0.25">
      <c r="A170" s="71" t="s">
        <v>193</v>
      </c>
      <c r="B170" s="69" t="s">
        <v>461</v>
      </c>
      <c r="C170" s="36">
        <v>0</v>
      </c>
      <c r="D170" s="36">
        <v>0</v>
      </c>
      <c r="E170" s="36">
        <v>0</v>
      </c>
      <c r="F170" s="27"/>
    </row>
    <row r="171" spans="1:6" ht="15.75" x14ac:dyDescent="0.25">
      <c r="A171" s="71" t="s">
        <v>193</v>
      </c>
      <c r="B171" s="7" t="s">
        <v>167</v>
      </c>
      <c r="C171" s="36">
        <v>2054013.06</v>
      </c>
      <c r="D171" s="36">
        <v>2125100</v>
      </c>
      <c r="E171" s="36">
        <v>881885</v>
      </c>
      <c r="F171" s="27"/>
    </row>
    <row r="172" spans="1:6" ht="15.75" x14ac:dyDescent="0.25">
      <c r="A172" s="71" t="s">
        <v>193</v>
      </c>
      <c r="B172" s="7" t="s">
        <v>308</v>
      </c>
      <c r="C172" s="36">
        <v>190000</v>
      </c>
      <c r="D172" s="36">
        <v>0</v>
      </c>
      <c r="E172" s="36">
        <v>0</v>
      </c>
    </row>
    <row r="173" spans="1:6" ht="15.75" x14ac:dyDescent="0.25">
      <c r="A173" s="71" t="s">
        <v>194</v>
      </c>
      <c r="B173" s="12" t="s">
        <v>195</v>
      </c>
      <c r="C173" s="36">
        <v>0</v>
      </c>
      <c r="D173" s="36">
        <v>0</v>
      </c>
      <c r="E173" s="36">
        <v>2405551</v>
      </c>
    </row>
    <row r="174" spans="1:6" ht="16.5" thickBot="1" x14ac:dyDescent="0.3">
      <c r="A174" s="71" t="s">
        <v>194</v>
      </c>
      <c r="B174" s="12" t="s">
        <v>233</v>
      </c>
      <c r="C174" s="37">
        <v>2468521.6400000155</v>
      </c>
      <c r="D174" s="37">
        <v>0</v>
      </c>
      <c r="E174" s="37">
        <v>4485</v>
      </c>
      <c r="F174" s="27"/>
    </row>
    <row r="175" spans="1:6" ht="17.25" thickTop="1" thickBot="1" x14ac:dyDescent="0.3">
      <c r="A175" s="67"/>
      <c r="B175" s="9" t="s">
        <v>50</v>
      </c>
      <c r="C175" s="38">
        <f>C54+C59+C64+C69+C74+C79+C84+C89+C94+C99+C101+C106+C112+C118+C124+C130+C135+C137+C142+C147+C152+C155+C160+SUM(C163:C174)</f>
        <v>74067124.260000005</v>
      </c>
      <c r="D175" s="38">
        <f>D54+D59+D64+D69+D74+D79+D84+D89+D94+D99+D101+D106+D112+D118+D124+D130+D135+D137+D142+D147+D152+D155+D160+SUM(D163:D174)</f>
        <v>78968315</v>
      </c>
      <c r="E175" s="38">
        <v>80171874</v>
      </c>
      <c r="F175" s="59"/>
    </row>
    <row r="176" spans="1:6" ht="16.5" thickTop="1" x14ac:dyDescent="0.25">
      <c r="A176" s="67"/>
      <c r="B176" s="13"/>
      <c r="C176" s="61"/>
    </row>
    <row r="177" spans="1:6" ht="15.75" x14ac:dyDescent="0.25">
      <c r="A177" s="67"/>
      <c r="B177" s="13"/>
      <c r="C177" s="40">
        <f>-C50+C175</f>
        <v>0</v>
      </c>
      <c r="D177" s="40">
        <f>-D50+D175</f>
        <v>0</v>
      </c>
      <c r="E177" s="40">
        <v>0</v>
      </c>
      <c r="F177" s="60"/>
    </row>
    <row r="178" spans="1:6" ht="16.5" thickBot="1" x14ac:dyDescent="0.3">
      <c r="A178" s="67"/>
      <c r="B178" s="15"/>
    </row>
    <row r="179" spans="1:6" ht="21" thickTop="1" thickBot="1" x14ac:dyDescent="0.45">
      <c r="A179" s="67"/>
      <c r="B179" s="30" t="s">
        <v>507</v>
      </c>
      <c r="C179" s="75"/>
      <c r="D179" s="76"/>
      <c r="E179" s="76"/>
    </row>
    <row r="180" spans="1:6" ht="16.5" thickTop="1" x14ac:dyDescent="0.25">
      <c r="A180" s="67"/>
      <c r="B180" s="4" t="s">
        <v>2</v>
      </c>
    </row>
    <row r="181" spans="1:6" ht="15.75" x14ac:dyDescent="0.25">
      <c r="A181" s="67" t="s">
        <v>114</v>
      </c>
      <c r="B181" s="16" t="s">
        <v>115</v>
      </c>
      <c r="C181" s="41">
        <v>5106958.7699999996</v>
      </c>
      <c r="D181" s="41">
        <v>6058330</v>
      </c>
      <c r="E181" s="41">
        <v>6064322</v>
      </c>
    </row>
    <row r="182" spans="1:6" ht="15.75" x14ac:dyDescent="0.25">
      <c r="A182" s="67" t="s">
        <v>116</v>
      </c>
      <c r="B182" s="16" t="s">
        <v>117</v>
      </c>
      <c r="C182" s="41">
        <v>2420962.88</v>
      </c>
      <c r="D182" s="41">
        <v>2642971</v>
      </c>
      <c r="E182" s="41">
        <v>4568757</v>
      </c>
    </row>
    <row r="183" spans="1:6" ht="15.75" x14ac:dyDescent="0.25">
      <c r="A183" s="67" t="s">
        <v>118</v>
      </c>
      <c r="B183" s="16" t="s">
        <v>119</v>
      </c>
      <c r="C183" s="41">
        <v>7103.33</v>
      </c>
      <c r="D183" s="41">
        <v>381886</v>
      </c>
      <c r="E183" s="41">
        <v>500000</v>
      </c>
    </row>
    <row r="184" spans="1:6" ht="15.75" x14ac:dyDescent="0.25">
      <c r="A184" s="71" t="s">
        <v>105</v>
      </c>
      <c r="B184" s="16" t="s">
        <v>120</v>
      </c>
      <c r="C184" s="41">
        <v>437127.04</v>
      </c>
      <c r="D184" s="41">
        <v>470195</v>
      </c>
      <c r="E184" s="41">
        <v>470195</v>
      </c>
    </row>
    <row r="185" spans="1:6" ht="15.75" x14ac:dyDescent="0.25">
      <c r="A185" s="71" t="s">
        <v>179</v>
      </c>
      <c r="B185" s="12" t="s">
        <v>189</v>
      </c>
      <c r="C185" s="41">
        <v>12438.72</v>
      </c>
      <c r="D185" s="41">
        <v>1100</v>
      </c>
      <c r="E185" s="41">
        <v>500</v>
      </c>
    </row>
    <row r="186" spans="1:6" ht="16.5" thickBot="1" x14ac:dyDescent="0.3">
      <c r="A186" s="71" t="s">
        <v>226</v>
      </c>
      <c r="B186" s="7" t="s">
        <v>108</v>
      </c>
      <c r="C186" s="41">
        <f>C195-SUM(C181:C185)</f>
        <v>2204.9000000003725</v>
      </c>
      <c r="D186" s="41">
        <v>160000</v>
      </c>
      <c r="E186" s="41">
        <v>160000</v>
      </c>
    </row>
    <row r="187" spans="1:6" ht="17.25" thickTop="1" thickBot="1" x14ac:dyDescent="0.3">
      <c r="A187" s="67"/>
      <c r="B187" s="17" t="s">
        <v>6</v>
      </c>
      <c r="C187" s="42">
        <f>SUM(C181:C186)</f>
        <v>7986795.6399999997</v>
      </c>
      <c r="D187" s="42">
        <f>SUM(D181:D186)</f>
        <v>9714482</v>
      </c>
      <c r="E187" s="42">
        <v>11763774</v>
      </c>
    </row>
    <row r="188" spans="1:6" ht="16.5" thickTop="1" x14ac:dyDescent="0.25">
      <c r="A188" s="67"/>
      <c r="B188" s="10"/>
    </row>
    <row r="189" spans="1:6" ht="15.75" x14ac:dyDescent="0.25">
      <c r="A189" s="67"/>
      <c r="B189" s="4" t="s">
        <v>7</v>
      </c>
      <c r="C189" s="57"/>
    </row>
    <row r="190" spans="1:6" ht="15.75" x14ac:dyDescent="0.25">
      <c r="A190" s="71" t="s">
        <v>416</v>
      </c>
      <c r="B190" s="7" t="s">
        <v>25</v>
      </c>
      <c r="C190" s="41">
        <v>4503094.71</v>
      </c>
      <c r="D190" s="41">
        <v>4825852</v>
      </c>
      <c r="E190" s="41">
        <v>5334835</v>
      </c>
    </row>
    <row r="191" spans="1:6" ht="15.75" x14ac:dyDescent="0.25">
      <c r="A191" s="71" t="s">
        <v>52</v>
      </c>
      <c r="B191" s="16" t="s">
        <v>301</v>
      </c>
      <c r="C191" s="41">
        <v>3385804.43</v>
      </c>
      <c r="D191" s="41">
        <v>4494897</v>
      </c>
      <c r="E191" s="41">
        <v>3607939</v>
      </c>
    </row>
    <row r="192" spans="1:6" ht="15.75" x14ac:dyDescent="0.25">
      <c r="A192" s="71" t="s">
        <v>417</v>
      </c>
      <c r="B192" s="7" t="s">
        <v>232</v>
      </c>
      <c r="C192" s="41">
        <v>0</v>
      </c>
      <c r="D192" s="41">
        <v>13370</v>
      </c>
      <c r="E192" s="41">
        <v>21000</v>
      </c>
    </row>
    <row r="193" spans="1:6" ht="15.75" x14ac:dyDescent="0.25">
      <c r="A193" s="67" t="s">
        <v>447</v>
      </c>
      <c r="B193" s="16" t="s">
        <v>308</v>
      </c>
      <c r="C193" s="41">
        <v>97896.5</v>
      </c>
      <c r="D193" s="41">
        <v>0</v>
      </c>
      <c r="E193" s="41">
        <v>0</v>
      </c>
    </row>
    <row r="194" spans="1:6" ht="16.5" thickBot="1" x14ac:dyDescent="0.3">
      <c r="A194" s="67" t="s">
        <v>163</v>
      </c>
      <c r="B194" s="7" t="s">
        <v>233</v>
      </c>
      <c r="C194" s="41">
        <v>0</v>
      </c>
      <c r="D194" s="41">
        <v>380363</v>
      </c>
      <c r="E194" s="41">
        <v>2800000</v>
      </c>
    </row>
    <row r="195" spans="1:6" ht="17.25" thickTop="1" thickBot="1" x14ac:dyDescent="0.3">
      <c r="A195" s="67"/>
      <c r="B195" s="17" t="s">
        <v>50</v>
      </c>
      <c r="C195" s="42">
        <v>7986795.6399999997</v>
      </c>
      <c r="D195" s="42">
        <f>SUM(D190:D194)</f>
        <v>9714482</v>
      </c>
      <c r="E195" s="42">
        <v>11763774</v>
      </c>
    </row>
    <row r="196" spans="1:6" ht="17.25" thickTop="1" thickBot="1" x14ac:dyDescent="0.3">
      <c r="A196" s="67"/>
      <c r="B196" s="15"/>
      <c r="C196" s="43"/>
      <c r="D196" s="43"/>
      <c r="E196" s="43"/>
    </row>
    <row r="197" spans="1:6" ht="21" thickTop="1" thickBot="1" x14ac:dyDescent="0.45">
      <c r="A197" s="67"/>
      <c r="B197" s="21" t="s">
        <v>53</v>
      </c>
    </row>
    <row r="198" spans="1:6" ht="16.5" thickTop="1" x14ac:dyDescent="0.25">
      <c r="A198" s="67"/>
      <c r="B198" s="4" t="s">
        <v>2</v>
      </c>
    </row>
    <row r="199" spans="1:6" ht="15.75" x14ac:dyDescent="0.25">
      <c r="A199" s="67" t="s">
        <v>114</v>
      </c>
      <c r="B199" s="16" t="s">
        <v>115</v>
      </c>
      <c r="C199" s="41">
        <v>11747432.800000001</v>
      </c>
      <c r="D199" s="41">
        <v>14516476</v>
      </c>
      <c r="E199" s="41">
        <v>14558150</v>
      </c>
    </row>
    <row r="200" spans="1:6" ht="15.75" x14ac:dyDescent="0.25">
      <c r="A200" s="67" t="s">
        <v>116</v>
      </c>
      <c r="B200" s="16" t="s">
        <v>117</v>
      </c>
      <c r="C200" s="41">
        <v>8686395.25</v>
      </c>
      <c r="D200" s="41">
        <v>8637684</v>
      </c>
      <c r="E200" s="41">
        <v>8990146</v>
      </c>
    </row>
    <row r="201" spans="1:6" ht="15.75" x14ac:dyDescent="0.25">
      <c r="A201" s="67" t="s">
        <v>118</v>
      </c>
      <c r="B201" s="16" t="s">
        <v>119</v>
      </c>
      <c r="C201" s="41">
        <v>55562.5</v>
      </c>
      <c r="D201" s="41">
        <v>44600</v>
      </c>
      <c r="E201" s="41">
        <v>60000</v>
      </c>
    </row>
    <row r="202" spans="1:6" ht="15.75" x14ac:dyDescent="0.25">
      <c r="A202" s="71" t="s">
        <v>105</v>
      </c>
      <c r="B202" s="16" t="s">
        <v>120</v>
      </c>
      <c r="C202" s="41">
        <v>2588336.41</v>
      </c>
      <c r="D202" s="41">
        <v>2648524</v>
      </c>
      <c r="E202" s="41">
        <v>2249223</v>
      </c>
    </row>
    <row r="203" spans="1:6" ht="15.75" x14ac:dyDescent="0.25">
      <c r="A203" s="71" t="s">
        <v>368</v>
      </c>
      <c r="B203" s="7" t="s">
        <v>189</v>
      </c>
      <c r="C203" s="41">
        <v>52021.65</v>
      </c>
      <c r="D203" s="41">
        <v>113267</v>
      </c>
      <c r="E203" s="41">
        <v>88992</v>
      </c>
    </row>
    <row r="204" spans="1:6" ht="16.5" thickBot="1" x14ac:dyDescent="0.3">
      <c r="A204" s="71" t="s">
        <v>226</v>
      </c>
      <c r="B204" s="16" t="s">
        <v>108</v>
      </c>
      <c r="C204" s="41">
        <v>0</v>
      </c>
      <c r="D204" s="41">
        <v>1563582</v>
      </c>
      <c r="E204" s="41">
        <v>2131799</v>
      </c>
    </row>
    <row r="205" spans="1:6" ht="17.25" thickTop="1" thickBot="1" x14ac:dyDescent="0.3">
      <c r="A205" s="67"/>
      <c r="B205" s="17" t="s">
        <v>6</v>
      </c>
      <c r="C205" s="42">
        <f>SUM(C199:C204)</f>
        <v>23129748.609999999</v>
      </c>
      <c r="D205" s="42">
        <f>SUM(D199:D204)</f>
        <v>27524133</v>
      </c>
      <c r="E205" s="42">
        <v>28078310</v>
      </c>
    </row>
    <row r="206" spans="1:6" ht="16.5" thickTop="1" x14ac:dyDescent="0.25">
      <c r="A206" s="67"/>
      <c r="B206" s="15"/>
      <c r="C206" s="43"/>
      <c r="D206" s="43"/>
      <c r="E206" s="43"/>
    </row>
    <row r="207" spans="1:6" ht="15.75" x14ac:dyDescent="0.25">
      <c r="A207" s="67"/>
      <c r="B207" s="4" t="s">
        <v>7</v>
      </c>
    </row>
    <row r="208" spans="1:6" ht="15.75" x14ac:dyDescent="0.25">
      <c r="A208" s="71" t="s">
        <v>54</v>
      </c>
      <c r="B208" s="7" t="s">
        <v>51</v>
      </c>
      <c r="C208" s="41">
        <v>1018892.11</v>
      </c>
      <c r="D208" s="41">
        <f>1912157-562497</f>
        <v>1349660</v>
      </c>
      <c r="E208" s="41">
        <v>1280303</v>
      </c>
      <c r="F208" s="27"/>
    </row>
    <row r="209" spans="1:6" ht="15.75" x14ac:dyDescent="0.25">
      <c r="A209" s="71"/>
      <c r="B209" s="62" t="s">
        <v>449</v>
      </c>
      <c r="C209" s="63">
        <v>812747.86</v>
      </c>
      <c r="D209" s="63">
        <v>893325</v>
      </c>
      <c r="E209" s="63">
        <v>799207</v>
      </c>
      <c r="F209" s="27"/>
    </row>
    <row r="210" spans="1:6" ht="15.75" x14ac:dyDescent="0.25">
      <c r="A210" s="71"/>
      <c r="B210" s="62" t="s">
        <v>452</v>
      </c>
      <c r="C210" s="63">
        <f>89473.13+1513</f>
        <v>90986.13</v>
      </c>
      <c r="D210" s="63">
        <f>109194+10259+2500</f>
        <v>121953</v>
      </c>
      <c r="E210" s="63">
        <v>115531</v>
      </c>
      <c r="F210" s="27"/>
    </row>
    <row r="211" spans="1:6" ht="15.75" x14ac:dyDescent="0.25">
      <c r="A211" s="71"/>
      <c r="B211" s="62" t="s">
        <v>450</v>
      </c>
      <c r="C211" s="63">
        <v>0</v>
      </c>
      <c r="D211" s="63">
        <v>0</v>
      </c>
      <c r="E211" s="63">
        <v>0</v>
      </c>
      <c r="F211" s="27"/>
    </row>
    <row r="212" spans="1:6" ht="15.75" x14ac:dyDescent="0.25">
      <c r="A212" s="71"/>
      <c r="B212" s="62" t="s">
        <v>451</v>
      </c>
      <c r="C212" s="63">
        <f>C208-C209-C210-C211</f>
        <v>115158.12</v>
      </c>
      <c r="D212" s="63">
        <f>D208-SUM(D209:D211)</f>
        <v>334382</v>
      </c>
      <c r="E212" s="63">
        <v>365565</v>
      </c>
      <c r="F212" s="27"/>
    </row>
    <row r="213" spans="1:6" ht="15.75" x14ac:dyDescent="0.25">
      <c r="A213" s="71" t="s">
        <v>55</v>
      </c>
      <c r="B213" s="7" t="s">
        <v>56</v>
      </c>
      <c r="C213" s="41">
        <v>2619731.5699999998</v>
      </c>
      <c r="D213" s="41">
        <f>2981895+16189</f>
        <v>2998084</v>
      </c>
      <c r="E213" s="41">
        <v>3185351</v>
      </c>
      <c r="F213" s="27"/>
    </row>
    <row r="214" spans="1:6" ht="15.75" x14ac:dyDescent="0.25">
      <c r="A214" s="71"/>
      <c r="B214" s="62" t="s">
        <v>449</v>
      </c>
      <c r="C214" s="63">
        <v>2224927.61</v>
      </c>
      <c r="D214" s="63">
        <f>2409636+6561</f>
        <v>2416197</v>
      </c>
      <c r="E214" s="63">
        <v>2542798</v>
      </c>
      <c r="F214" s="27"/>
    </row>
    <row r="215" spans="1:6" ht="15.75" x14ac:dyDescent="0.25">
      <c r="A215" s="71"/>
      <c r="B215" s="62" t="s">
        <v>452</v>
      </c>
      <c r="C215" s="63">
        <v>170377.02</v>
      </c>
      <c r="D215" s="63">
        <f>222823+10389+5000</f>
        <v>238212</v>
      </c>
      <c r="E215" s="63">
        <v>261452</v>
      </c>
      <c r="F215" s="27"/>
    </row>
    <row r="216" spans="1:6" ht="15.75" x14ac:dyDescent="0.25">
      <c r="A216" s="71"/>
      <c r="B216" s="62" t="s">
        <v>450</v>
      </c>
      <c r="C216" s="63">
        <v>16100</v>
      </c>
      <c r="D216" s="63">
        <v>12000</v>
      </c>
      <c r="E216" s="63">
        <v>9000</v>
      </c>
      <c r="F216" s="27"/>
    </row>
    <row r="217" spans="1:6" ht="15.75" x14ac:dyDescent="0.25">
      <c r="A217" s="71"/>
      <c r="B217" s="62" t="s">
        <v>451</v>
      </c>
      <c r="C217" s="63">
        <f>C213-SUM(C214:C216)</f>
        <v>208326.93999999994</v>
      </c>
      <c r="D217" s="63">
        <f>D213-SUM(D214:D216)</f>
        <v>331675</v>
      </c>
      <c r="E217" s="63">
        <v>372101</v>
      </c>
      <c r="F217" s="27"/>
    </row>
    <row r="218" spans="1:6" ht="15.75" x14ac:dyDescent="0.25">
      <c r="A218" s="71" t="s">
        <v>57</v>
      </c>
      <c r="B218" s="7" t="s">
        <v>168</v>
      </c>
      <c r="C218" s="41">
        <v>8414619.4900000002</v>
      </c>
      <c r="D218" s="41">
        <f>9595011+565449</f>
        <v>10160460</v>
      </c>
      <c r="E218" s="41">
        <v>10568626</v>
      </c>
      <c r="F218" s="27"/>
    </row>
    <row r="219" spans="1:6" ht="15.75" x14ac:dyDescent="0.25">
      <c r="A219" s="71"/>
      <c r="B219" s="62" t="s">
        <v>449</v>
      </c>
      <c r="C219" s="63">
        <v>5878570.71</v>
      </c>
      <c r="D219" s="63">
        <f>6407351+373191</f>
        <v>6780542</v>
      </c>
      <c r="E219" s="63">
        <v>7303688</v>
      </c>
      <c r="F219" s="27"/>
    </row>
    <row r="220" spans="1:6" ht="15.75" x14ac:dyDescent="0.25">
      <c r="A220" s="71"/>
      <c r="B220" s="62" t="s">
        <v>452</v>
      </c>
      <c r="C220" s="63">
        <f>317136.5+77</f>
        <v>317213.5</v>
      </c>
      <c r="D220" s="63">
        <f>388990+37439+1000</f>
        <v>427429</v>
      </c>
      <c r="E220" s="63">
        <v>411247</v>
      </c>
      <c r="F220" s="27"/>
    </row>
    <row r="221" spans="1:6" ht="15.75" x14ac:dyDescent="0.25">
      <c r="A221" s="71"/>
      <c r="B221" s="62" t="s">
        <v>450</v>
      </c>
      <c r="C221" s="63">
        <v>0</v>
      </c>
      <c r="D221" s="63">
        <v>0</v>
      </c>
      <c r="E221" s="63">
        <v>0</v>
      </c>
      <c r="F221" s="27"/>
    </row>
    <row r="222" spans="1:6" ht="15.75" x14ac:dyDescent="0.25">
      <c r="A222" s="71"/>
      <c r="B222" s="62" t="s">
        <v>451</v>
      </c>
      <c r="C222" s="63">
        <f>C218-SUM(C219:C221)</f>
        <v>2218835.2800000003</v>
      </c>
      <c r="D222" s="63">
        <f>D218-SUM(D219:D221)</f>
        <v>2952489</v>
      </c>
      <c r="E222" s="63">
        <v>2853691</v>
      </c>
      <c r="F222" s="27"/>
    </row>
    <row r="223" spans="1:6" ht="15.75" x14ac:dyDescent="0.25">
      <c r="A223" s="71" t="s">
        <v>58</v>
      </c>
      <c r="B223" s="7" t="s">
        <v>169</v>
      </c>
      <c r="C223" s="41">
        <v>1082348.3799999999</v>
      </c>
      <c r="D223" s="41">
        <f>1255793+75629</f>
        <v>1331422</v>
      </c>
      <c r="E223" s="41">
        <v>1388239</v>
      </c>
      <c r="F223" s="27"/>
    </row>
    <row r="224" spans="1:6" ht="15.75" x14ac:dyDescent="0.25">
      <c r="A224" s="71"/>
      <c r="B224" s="62" t="s">
        <v>449</v>
      </c>
      <c r="C224" s="63">
        <v>908850.31</v>
      </c>
      <c r="D224" s="63">
        <f>1047871+39531</f>
        <v>1087402</v>
      </c>
      <c r="E224" s="63">
        <v>1134317</v>
      </c>
      <c r="F224" s="27"/>
    </row>
    <row r="225" spans="1:6" ht="15.75" x14ac:dyDescent="0.25">
      <c r="A225" s="71"/>
      <c r="B225" s="62" t="s">
        <v>452</v>
      </c>
      <c r="C225" s="63">
        <f>72343.73+145</f>
        <v>72488.73</v>
      </c>
      <c r="D225" s="63">
        <f>91360+6716+500</f>
        <v>98576</v>
      </c>
      <c r="E225" s="63">
        <v>102595</v>
      </c>
      <c r="F225" s="27"/>
    </row>
    <row r="226" spans="1:6" ht="15.75" x14ac:dyDescent="0.25">
      <c r="A226" s="71"/>
      <c r="B226" s="62" t="s">
        <v>450</v>
      </c>
      <c r="C226" s="63">
        <v>0</v>
      </c>
      <c r="D226" s="63">
        <v>0</v>
      </c>
      <c r="E226" s="63">
        <v>0</v>
      </c>
      <c r="F226" s="27"/>
    </row>
    <row r="227" spans="1:6" ht="15.75" x14ac:dyDescent="0.25">
      <c r="A227" s="71"/>
      <c r="B227" s="62" t="s">
        <v>451</v>
      </c>
      <c r="C227" s="63">
        <f>C223-SUM(C224:C226)</f>
        <v>101009.33999999985</v>
      </c>
      <c r="D227" s="63">
        <f>D223-SUM(D224:D226)</f>
        <v>145444</v>
      </c>
      <c r="E227" s="63">
        <v>151324</v>
      </c>
      <c r="F227" s="27"/>
    </row>
    <row r="228" spans="1:6" ht="15.75" x14ac:dyDescent="0.25">
      <c r="A228" s="71" t="s">
        <v>60</v>
      </c>
      <c r="B228" s="7" t="s">
        <v>61</v>
      </c>
      <c r="C228" s="41">
        <v>8884486.5399999991</v>
      </c>
      <c r="D228" s="41">
        <v>10362721</v>
      </c>
      <c r="E228" s="41">
        <v>9475042</v>
      </c>
    </row>
    <row r="229" spans="1:6" ht="15.75" x14ac:dyDescent="0.25">
      <c r="A229" s="71"/>
      <c r="B229" s="62" t="s">
        <v>449</v>
      </c>
      <c r="C229" s="63">
        <v>1503782.95</v>
      </c>
      <c r="D229" s="63">
        <v>1733769</v>
      </c>
      <c r="E229" s="63">
        <v>1835001</v>
      </c>
    </row>
    <row r="230" spans="1:6" ht="15.75" x14ac:dyDescent="0.25">
      <c r="A230" s="71"/>
      <c r="B230" s="62" t="s">
        <v>452</v>
      </c>
      <c r="C230" s="63">
        <v>144460.60999999999</v>
      </c>
      <c r="D230" s="63">
        <v>168185</v>
      </c>
      <c r="E230" s="63">
        <v>144643</v>
      </c>
    </row>
    <row r="231" spans="1:6" ht="15.75" x14ac:dyDescent="0.25">
      <c r="A231" s="71"/>
      <c r="B231" s="62" t="s">
        <v>450</v>
      </c>
      <c r="C231" s="63">
        <v>0</v>
      </c>
      <c r="D231" s="63">
        <v>6595</v>
      </c>
      <c r="E231" s="63">
        <v>0</v>
      </c>
    </row>
    <row r="232" spans="1:6" ht="15.75" x14ac:dyDescent="0.25">
      <c r="A232" s="71"/>
      <c r="B232" s="62" t="s">
        <v>451</v>
      </c>
      <c r="C232" s="63">
        <f>C228-SUM(C229:C231)</f>
        <v>7236242.9799999986</v>
      </c>
      <c r="D232" s="63">
        <f>D228-SUM(D229:D231)</f>
        <v>8454172</v>
      </c>
      <c r="E232" s="63">
        <v>7495398</v>
      </c>
    </row>
    <row r="233" spans="1:6" ht="15.75" x14ac:dyDescent="0.25">
      <c r="A233" s="71" t="s">
        <v>68</v>
      </c>
      <c r="B233" s="7" t="s">
        <v>70</v>
      </c>
      <c r="C233" s="41">
        <v>335493.38</v>
      </c>
      <c r="D233" s="41">
        <v>402339</v>
      </c>
      <c r="E233" s="41">
        <v>399890</v>
      </c>
    </row>
    <row r="234" spans="1:6" ht="15.75" x14ac:dyDescent="0.25">
      <c r="A234" s="71"/>
      <c r="B234" s="62" t="s">
        <v>449</v>
      </c>
      <c r="C234" s="63">
        <v>147332.32999999999</v>
      </c>
      <c r="D234" s="63">
        <v>162634</v>
      </c>
      <c r="E234" s="63">
        <v>171816</v>
      </c>
    </row>
    <row r="235" spans="1:6" ht="15.75" x14ac:dyDescent="0.25">
      <c r="A235" s="71"/>
      <c r="B235" s="62" t="s">
        <v>452</v>
      </c>
      <c r="C235" s="63">
        <f>16708.54+12.5</f>
        <v>16721.04</v>
      </c>
      <c r="D235" s="63">
        <f>17096+250+674</f>
        <v>18020</v>
      </c>
      <c r="E235" s="63">
        <v>17705</v>
      </c>
    </row>
    <row r="236" spans="1:6" ht="15.75" x14ac:dyDescent="0.25">
      <c r="A236" s="71"/>
      <c r="B236" s="62" t="s">
        <v>450</v>
      </c>
      <c r="C236" s="63">
        <v>0</v>
      </c>
      <c r="D236" s="63">
        <v>0</v>
      </c>
      <c r="E236" s="63">
        <v>0</v>
      </c>
    </row>
    <row r="237" spans="1:6" ht="15.75" x14ac:dyDescent="0.25">
      <c r="A237" s="71"/>
      <c r="B237" s="62" t="s">
        <v>451</v>
      </c>
      <c r="C237" s="63">
        <f>C233-SUM(C234:C236)</f>
        <v>171440.01</v>
      </c>
      <c r="D237" s="63">
        <f>D233-SUM(D234:D236)</f>
        <v>221685</v>
      </c>
      <c r="E237" s="63">
        <v>210369</v>
      </c>
    </row>
    <row r="238" spans="1:6" ht="15.75" x14ac:dyDescent="0.25">
      <c r="A238" s="71" t="s">
        <v>69</v>
      </c>
      <c r="B238" s="7" t="s">
        <v>71</v>
      </c>
      <c r="C238" s="41">
        <v>305413.32</v>
      </c>
      <c r="D238" s="41">
        <v>356950</v>
      </c>
      <c r="E238" s="41">
        <v>359768</v>
      </c>
    </row>
    <row r="239" spans="1:6" ht="15.75" x14ac:dyDescent="0.25">
      <c r="A239" s="71"/>
      <c r="B239" s="62" t="s">
        <v>449</v>
      </c>
      <c r="C239" s="63">
        <v>129685.52</v>
      </c>
      <c r="D239" s="63">
        <v>139598</v>
      </c>
      <c r="E239" s="63">
        <v>148935</v>
      </c>
    </row>
    <row r="240" spans="1:6" ht="15.75" x14ac:dyDescent="0.25">
      <c r="A240" s="71"/>
      <c r="B240" s="62" t="s">
        <v>452</v>
      </c>
      <c r="C240" s="63">
        <f>11224.21+12.5</f>
        <v>11236.71</v>
      </c>
      <c r="D240" s="63">
        <f>10836+250+673</f>
        <v>11759</v>
      </c>
      <c r="E240" s="63">
        <v>11445</v>
      </c>
    </row>
    <row r="241" spans="1:5" ht="15.75" x14ac:dyDescent="0.25">
      <c r="A241" s="71"/>
      <c r="B241" s="62" t="s">
        <v>450</v>
      </c>
      <c r="C241" s="63">
        <v>0</v>
      </c>
      <c r="D241" s="63">
        <v>0</v>
      </c>
      <c r="E241" s="63">
        <v>0</v>
      </c>
    </row>
    <row r="242" spans="1:5" ht="15.75" x14ac:dyDescent="0.25">
      <c r="A242" s="71"/>
      <c r="B242" s="62" t="s">
        <v>451</v>
      </c>
      <c r="C242" s="63">
        <f>C238-SUM(C239:C241)</f>
        <v>164491.09</v>
      </c>
      <c r="D242" s="63">
        <f>D238-SUM(D239:D241)</f>
        <v>205593</v>
      </c>
      <c r="E242" s="63">
        <v>199388</v>
      </c>
    </row>
    <row r="243" spans="1:5" ht="16.5" thickBot="1" x14ac:dyDescent="0.3">
      <c r="A243" s="67" t="s">
        <v>259</v>
      </c>
      <c r="B243" s="7" t="s">
        <v>233</v>
      </c>
      <c r="C243" s="41">
        <f>C205-22660984.79</f>
        <v>468763.8200000003</v>
      </c>
      <c r="D243" s="41">
        <v>562497</v>
      </c>
      <c r="E243" s="41">
        <v>1421091</v>
      </c>
    </row>
    <row r="244" spans="1:5" ht="17.25" thickTop="1" thickBot="1" x14ac:dyDescent="0.3">
      <c r="A244" s="67"/>
      <c r="B244" s="17" t="s">
        <v>50</v>
      </c>
      <c r="C244" s="42">
        <f>C208+C213+C218+C223+C228+C233+C238+C243</f>
        <v>23129748.609999999</v>
      </c>
      <c r="D244" s="42">
        <f>D208+D213+D218+D223+D228+D233+D238+D243</f>
        <v>27524133</v>
      </c>
      <c r="E244" s="42">
        <v>28078310</v>
      </c>
    </row>
    <row r="245" spans="1:5" ht="17.25" thickTop="1" thickBot="1" x14ac:dyDescent="0.3">
      <c r="A245" s="67"/>
      <c r="B245" s="15"/>
      <c r="C245" s="43"/>
      <c r="D245" s="43"/>
      <c r="E245" s="43"/>
    </row>
    <row r="246" spans="1:5" ht="21" thickTop="1" thickBot="1" x14ac:dyDescent="0.45">
      <c r="A246" s="67"/>
      <c r="B246" s="30" t="s">
        <v>331</v>
      </c>
      <c r="C246" s="57"/>
    </row>
    <row r="247" spans="1:5" ht="16.5" thickTop="1" x14ac:dyDescent="0.25">
      <c r="A247" s="67"/>
      <c r="B247" s="4" t="s">
        <v>2</v>
      </c>
    </row>
    <row r="248" spans="1:5" ht="15.75" x14ac:dyDescent="0.25">
      <c r="A248" s="67" t="s">
        <v>188</v>
      </c>
      <c r="B248" s="66" t="s">
        <v>479</v>
      </c>
      <c r="C248" s="41">
        <v>1540734.69</v>
      </c>
      <c r="D248" s="41">
        <v>1645000</v>
      </c>
      <c r="E248" s="41">
        <v>1694500</v>
      </c>
    </row>
    <row r="249" spans="1:5" ht="15.75" x14ac:dyDescent="0.25">
      <c r="A249" s="67" t="s">
        <v>483</v>
      </c>
      <c r="B249" s="66" t="s">
        <v>480</v>
      </c>
      <c r="C249" s="41">
        <v>17718449</v>
      </c>
      <c r="D249" s="41">
        <v>18917500</v>
      </c>
      <c r="E249" s="41">
        <v>19485000</v>
      </c>
    </row>
    <row r="250" spans="1:5" ht="15.75" x14ac:dyDescent="0.25">
      <c r="A250" s="71" t="s">
        <v>491</v>
      </c>
      <c r="B250" s="66" t="s">
        <v>481</v>
      </c>
      <c r="C250" s="41">
        <v>17072129.289999999</v>
      </c>
      <c r="D250" s="41">
        <v>17125380</v>
      </c>
      <c r="E250" s="41">
        <v>17664500</v>
      </c>
    </row>
    <row r="251" spans="1:5" ht="15.75" x14ac:dyDescent="0.25">
      <c r="A251" s="71" t="s">
        <v>484</v>
      </c>
      <c r="B251" s="66" t="s">
        <v>482</v>
      </c>
      <c r="C251" s="41">
        <v>16001036.529999999</v>
      </c>
      <c r="D251" s="41">
        <v>17000000</v>
      </c>
      <c r="E251" s="41">
        <v>17510000</v>
      </c>
    </row>
    <row r="252" spans="1:5" ht="15.75" x14ac:dyDescent="0.25">
      <c r="A252" s="71" t="s">
        <v>330</v>
      </c>
      <c r="B252" s="16" t="s">
        <v>332</v>
      </c>
      <c r="C252" s="41">
        <v>2737852.24</v>
      </c>
      <c r="D252" s="41">
        <v>2910270</v>
      </c>
      <c r="E252" s="41">
        <v>3335000</v>
      </c>
    </row>
    <row r="253" spans="1:5" ht="15.75" x14ac:dyDescent="0.25">
      <c r="A253" s="67" t="s">
        <v>114</v>
      </c>
      <c r="B253" s="16" t="s">
        <v>122</v>
      </c>
      <c r="C253" s="41">
        <v>0</v>
      </c>
      <c r="D253" s="41">
        <v>3300000</v>
      </c>
      <c r="E253" s="41">
        <v>3300000</v>
      </c>
    </row>
    <row r="254" spans="1:5" ht="15.75" x14ac:dyDescent="0.25">
      <c r="A254" s="71" t="s">
        <v>492</v>
      </c>
      <c r="B254" s="16" t="s">
        <v>290</v>
      </c>
      <c r="C254" s="41">
        <v>3993298.55</v>
      </c>
      <c r="D254" s="41">
        <v>3905000</v>
      </c>
      <c r="E254" s="41">
        <v>4022000</v>
      </c>
    </row>
    <row r="255" spans="1:5" ht="15.75" x14ac:dyDescent="0.25">
      <c r="A255" s="67" t="s">
        <v>116</v>
      </c>
      <c r="B255" s="16" t="s">
        <v>117</v>
      </c>
      <c r="C255" s="41">
        <v>17225.25</v>
      </c>
      <c r="D255" s="41">
        <v>0</v>
      </c>
      <c r="E255" s="41">
        <v>0</v>
      </c>
    </row>
    <row r="256" spans="1:5" ht="15.75" x14ac:dyDescent="0.25">
      <c r="A256" s="67" t="s">
        <v>118</v>
      </c>
      <c r="B256" s="16" t="s">
        <v>119</v>
      </c>
      <c r="C256" s="41">
        <v>333987.34999999998</v>
      </c>
      <c r="D256" s="41">
        <v>384728</v>
      </c>
      <c r="E256" s="41">
        <v>349000</v>
      </c>
    </row>
    <row r="257" spans="1:6" ht="15.75" x14ac:dyDescent="0.25">
      <c r="A257" s="67" t="s">
        <v>509</v>
      </c>
      <c r="B257" s="69" t="s">
        <v>510</v>
      </c>
      <c r="C257" s="56">
        <v>0</v>
      </c>
      <c r="D257" s="56">
        <v>65000000</v>
      </c>
      <c r="E257" s="56">
        <v>65000000</v>
      </c>
    </row>
    <row r="258" spans="1:6" ht="15.75" x14ac:dyDescent="0.25">
      <c r="A258" s="71" t="s">
        <v>105</v>
      </c>
      <c r="B258" s="16" t="s">
        <v>120</v>
      </c>
      <c r="C258" s="56">
        <v>0</v>
      </c>
      <c r="D258" s="56">
        <v>949650</v>
      </c>
      <c r="E258" s="56">
        <v>0</v>
      </c>
    </row>
    <row r="259" spans="1:6" ht="16.5" thickBot="1" x14ac:dyDescent="0.3">
      <c r="A259" s="71" t="s">
        <v>226</v>
      </c>
      <c r="B259" s="12" t="s">
        <v>108</v>
      </c>
      <c r="C259" s="44">
        <v>0</v>
      </c>
      <c r="D259" s="44">
        <v>53375410</v>
      </c>
      <c r="E259" s="44">
        <v>58080792</v>
      </c>
    </row>
    <row r="260" spans="1:6" ht="17.25" thickTop="1" thickBot="1" x14ac:dyDescent="0.3">
      <c r="A260" s="67"/>
      <c r="B260" s="17" t="s">
        <v>6</v>
      </c>
      <c r="C260" s="45">
        <f>SUM(C248:C259)</f>
        <v>59414712.900000006</v>
      </c>
      <c r="D260" s="45">
        <f>SUM(D248:D259)</f>
        <v>184512938</v>
      </c>
      <c r="E260" s="45">
        <v>190440792</v>
      </c>
    </row>
    <row r="261" spans="1:6" ht="16.5" thickTop="1" x14ac:dyDescent="0.25">
      <c r="A261" s="67"/>
      <c r="B261" s="15"/>
      <c r="C261" s="46"/>
      <c r="D261" s="46"/>
      <c r="E261" s="46"/>
    </row>
    <row r="262" spans="1:6" ht="15.75" x14ac:dyDescent="0.25">
      <c r="A262" s="71" t="s">
        <v>240</v>
      </c>
      <c r="B262" s="7" t="s">
        <v>341</v>
      </c>
      <c r="C262" s="41">
        <v>2826446.16</v>
      </c>
      <c r="D262" s="41">
        <f>7213834-3300000</f>
        <v>3913834</v>
      </c>
      <c r="E262" s="41">
        <v>2890668</v>
      </c>
      <c r="F262" s="27"/>
    </row>
    <row r="263" spans="1:6" ht="15.75" x14ac:dyDescent="0.25">
      <c r="A263" s="71"/>
      <c r="B263" s="62" t="s">
        <v>449</v>
      </c>
      <c r="C263" s="63">
        <v>1155261.8799999999</v>
      </c>
      <c r="D263" s="63">
        <v>1258798</v>
      </c>
      <c r="E263" s="63">
        <v>1193865</v>
      </c>
      <c r="F263" s="27"/>
    </row>
    <row r="264" spans="1:6" ht="15.75" x14ac:dyDescent="0.25">
      <c r="A264" s="71"/>
      <c r="B264" s="62" t="s">
        <v>452</v>
      </c>
      <c r="C264" s="63">
        <v>1106115.57</v>
      </c>
      <c r="D264" s="63">
        <f>1568761+168718+500</f>
        <v>1737979</v>
      </c>
      <c r="E264" s="63">
        <v>1328904</v>
      </c>
      <c r="F264" s="27"/>
    </row>
    <row r="265" spans="1:6" ht="15.75" x14ac:dyDescent="0.25">
      <c r="A265" s="71"/>
      <c r="B265" s="62" t="s">
        <v>450</v>
      </c>
      <c r="C265" s="63">
        <v>0</v>
      </c>
      <c r="D265" s="63">
        <v>0</v>
      </c>
      <c r="E265" s="63">
        <v>0</v>
      </c>
      <c r="F265" s="27"/>
    </row>
    <row r="266" spans="1:6" ht="15.75" x14ac:dyDescent="0.25">
      <c r="A266" s="71"/>
      <c r="B266" s="62" t="s">
        <v>451</v>
      </c>
      <c r="C266" s="63">
        <f>C262-SUM(C263:C265)</f>
        <v>565068.71</v>
      </c>
      <c r="D266" s="63">
        <f>D262-D263-D264-D265</f>
        <v>917057</v>
      </c>
      <c r="E266" s="63">
        <v>367899</v>
      </c>
      <c r="F266" s="27"/>
    </row>
    <row r="267" spans="1:6" ht="15.75" x14ac:dyDescent="0.25">
      <c r="A267" s="71" t="s">
        <v>291</v>
      </c>
      <c r="B267" s="65" t="s">
        <v>485</v>
      </c>
      <c r="C267" s="41">
        <v>478167.42</v>
      </c>
      <c r="D267" s="41">
        <v>6635846</v>
      </c>
      <c r="E267" s="41">
        <v>694900</v>
      </c>
    </row>
    <row r="268" spans="1:6" ht="15.75" x14ac:dyDescent="0.25">
      <c r="A268" s="71" t="s">
        <v>490</v>
      </c>
      <c r="B268" s="66" t="s">
        <v>489</v>
      </c>
      <c r="C268" s="41">
        <v>17718449</v>
      </c>
      <c r="D268" s="41">
        <v>18917500</v>
      </c>
      <c r="E268" s="41">
        <v>19485000</v>
      </c>
    </row>
    <row r="269" spans="1:6" ht="15.75" x14ac:dyDescent="0.25">
      <c r="A269" s="71" t="s">
        <v>292</v>
      </c>
      <c r="B269" s="66" t="s">
        <v>486</v>
      </c>
      <c r="C269" s="41">
        <v>4803690.42</v>
      </c>
      <c r="D269" s="41">
        <v>41787059</v>
      </c>
      <c r="E269" s="41">
        <v>46761770</v>
      </c>
    </row>
    <row r="270" spans="1:6" ht="15.75" x14ac:dyDescent="0.25">
      <c r="A270" s="71" t="s">
        <v>293</v>
      </c>
      <c r="B270" s="16" t="s">
        <v>294</v>
      </c>
      <c r="C270" s="41">
        <v>14909.9</v>
      </c>
      <c r="D270" s="41">
        <v>7266329</v>
      </c>
      <c r="E270" s="41">
        <v>10967010</v>
      </c>
    </row>
    <row r="271" spans="1:6" ht="15.75" x14ac:dyDescent="0.25">
      <c r="A271" s="71" t="s">
        <v>295</v>
      </c>
      <c r="B271" s="66" t="s">
        <v>487</v>
      </c>
      <c r="C271" s="41">
        <v>515891</v>
      </c>
      <c r="D271" s="41">
        <v>74843650</v>
      </c>
      <c r="E271" s="41">
        <v>73450760</v>
      </c>
    </row>
    <row r="272" spans="1:6" ht="15.75" x14ac:dyDescent="0.25">
      <c r="A272" s="71" t="s">
        <v>488</v>
      </c>
      <c r="B272" s="66" t="s">
        <v>489</v>
      </c>
      <c r="C272" s="41">
        <v>16001036.529999999</v>
      </c>
      <c r="D272" s="41">
        <v>17000000</v>
      </c>
      <c r="E272" s="41">
        <v>17510000</v>
      </c>
    </row>
    <row r="273" spans="1:5" ht="15.75" x14ac:dyDescent="0.25">
      <c r="A273" s="67" t="s">
        <v>296</v>
      </c>
      <c r="B273" s="16" t="s">
        <v>167</v>
      </c>
      <c r="C273" s="41">
        <f>2831990.71+6335742.15+1697849.32</f>
        <v>10865582.18</v>
      </c>
      <c r="D273" s="41">
        <v>10848720</v>
      </c>
      <c r="E273" s="41">
        <v>14936352</v>
      </c>
    </row>
    <row r="274" spans="1:5" ht="16.5" thickBot="1" x14ac:dyDescent="0.3">
      <c r="A274" s="67" t="s">
        <v>297</v>
      </c>
      <c r="B274" s="12" t="s">
        <v>233</v>
      </c>
      <c r="C274" s="41">
        <f>C260-C262-SUM(C267:C273)</f>
        <v>6190540.2900000066</v>
      </c>
      <c r="D274" s="41">
        <v>3300000</v>
      </c>
      <c r="E274" s="41">
        <v>3744332</v>
      </c>
    </row>
    <row r="275" spans="1:5" ht="17.25" thickTop="1" thickBot="1" x14ac:dyDescent="0.3">
      <c r="A275" s="67"/>
      <c r="B275" s="17" t="s">
        <v>50</v>
      </c>
      <c r="C275" s="51">
        <f>C262+SUM(C267:C274)</f>
        <v>59414712.900000006</v>
      </c>
      <c r="D275" s="51">
        <f>D262+SUM(D267:D274)</f>
        <v>184512938</v>
      </c>
      <c r="E275" s="51">
        <v>190440792</v>
      </c>
    </row>
    <row r="276" spans="1:5" ht="17.25" thickTop="1" thickBot="1" x14ac:dyDescent="0.3">
      <c r="A276" s="67"/>
      <c r="B276" s="15"/>
      <c r="C276" s="57"/>
    </row>
    <row r="277" spans="1:5" ht="21" thickTop="1" thickBot="1" x14ac:dyDescent="0.45">
      <c r="A277" s="67"/>
      <c r="B277" s="30" t="s">
        <v>333</v>
      </c>
    </row>
    <row r="278" spans="1:5" ht="16.5" thickTop="1" x14ac:dyDescent="0.25">
      <c r="A278" s="67"/>
      <c r="B278" s="4" t="s">
        <v>2</v>
      </c>
    </row>
    <row r="279" spans="1:5" ht="15.75" x14ac:dyDescent="0.25">
      <c r="A279" s="71" t="s">
        <v>465</v>
      </c>
      <c r="B279" s="66" t="s">
        <v>466</v>
      </c>
      <c r="C279" s="36">
        <v>2072672.07</v>
      </c>
      <c r="D279" s="36">
        <v>4000000</v>
      </c>
      <c r="E279" s="36">
        <v>4000000</v>
      </c>
    </row>
    <row r="280" spans="1:5" ht="15.75" x14ac:dyDescent="0.25">
      <c r="A280" s="67" t="s">
        <v>114</v>
      </c>
      <c r="B280" s="66" t="s">
        <v>473</v>
      </c>
      <c r="C280" s="36">
        <v>0</v>
      </c>
      <c r="D280" s="36">
        <v>5000000</v>
      </c>
      <c r="E280" s="36">
        <v>5000000</v>
      </c>
    </row>
    <row r="281" spans="1:5" ht="15.75" x14ac:dyDescent="0.25">
      <c r="A281" s="67" t="s">
        <v>114</v>
      </c>
      <c r="B281" s="16" t="s">
        <v>369</v>
      </c>
      <c r="C281" s="36">
        <v>1592377.29</v>
      </c>
      <c r="D281" s="36">
        <v>2899660</v>
      </c>
      <c r="E281" s="36">
        <v>2559228</v>
      </c>
    </row>
    <row r="282" spans="1:5" ht="15.75" x14ac:dyDescent="0.25">
      <c r="A282" s="67" t="s">
        <v>114</v>
      </c>
      <c r="B282" s="16" t="s">
        <v>371</v>
      </c>
      <c r="C282" s="36">
        <v>0</v>
      </c>
      <c r="D282" s="70">
        <f>5500+16648</f>
        <v>22148</v>
      </c>
      <c r="E282" s="36">
        <v>5500</v>
      </c>
    </row>
    <row r="283" spans="1:5" ht="15.75" x14ac:dyDescent="0.25">
      <c r="A283" s="67" t="s">
        <v>114</v>
      </c>
      <c r="B283" s="16" t="s">
        <v>339</v>
      </c>
      <c r="C283" s="36">
        <v>4998</v>
      </c>
      <c r="D283" s="36">
        <v>25000</v>
      </c>
      <c r="E283" s="36">
        <v>10000</v>
      </c>
    </row>
    <row r="284" spans="1:5" ht="15.75" x14ac:dyDescent="0.25">
      <c r="A284" s="67" t="s">
        <v>114</v>
      </c>
      <c r="B284" s="16" t="s">
        <v>338</v>
      </c>
      <c r="C284" s="70">
        <v>77491.77</v>
      </c>
      <c r="D284" s="36">
        <v>241991</v>
      </c>
      <c r="E284" s="36">
        <v>250204</v>
      </c>
    </row>
    <row r="285" spans="1:5" ht="15.75" x14ac:dyDescent="0.25">
      <c r="A285" s="67" t="s">
        <v>114</v>
      </c>
      <c r="B285" s="66" t="s">
        <v>524</v>
      </c>
      <c r="C285" s="36">
        <v>737241.89</v>
      </c>
      <c r="D285" s="36">
        <v>2250004</v>
      </c>
      <c r="E285" s="36">
        <v>1784625</v>
      </c>
    </row>
    <row r="286" spans="1:5" ht="15.75" x14ac:dyDescent="0.25">
      <c r="A286" s="67" t="s">
        <v>114</v>
      </c>
      <c r="B286" s="16" t="s">
        <v>370</v>
      </c>
      <c r="C286" s="36">
        <v>14954.48</v>
      </c>
      <c r="D286" s="36">
        <v>14984</v>
      </c>
      <c r="E286" s="36">
        <v>1020000</v>
      </c>
    </row>
    <row r="287" spans="1:5" ht="15.75" x14ac:dyDescent="0.25">
      <c r="A287" s="67" t="s">
        <v>114</v>
      </c>
      <c r="B287" s="16" t="s">
        <v>340</v>
      </c>
      <c r="C287" s="36">
        <v>1345896.2</v>
      </c>
      <c r="D287" s="36">
        <v>1902500</v>
      </c>
      <c r="E287" s="36">
        <v>1000000</v>
      </c>
    </row>
    <row r="288" spans="1:5" ht="15.75" x14ac:dyDescent="0.25">
      <c r="A288" s="67" t="s">
        <v>114</v>
      </c>
      <c r="B288" s="66" t="s">
        <v>467</v>
      </c>
      <c r="C288" s="36">
        <v>2500</v>
      </c>
      <c r="D288" s="36">
        <v>2500</v>
      </c>
      <c r="E288" s="36">
        <v>2500</v>
      </c>
    </row>
    <row r="289" spans="1:5" ht="15.75" x14ac:dyDescent="0.25">
      <c r="A289" s="67" t="s">
        <v>116</v>
      </c>
      <c r="B289" s="16" t="s">
        <v>372</v>
      </c>
      <c r="C289" s="36">
        <v>52832.93</v>
      </c>
      <c r="D289" s="41">
        <v>51000</v>
      </c>
      <c r="E289" s="41">
        <v>50000</v>
      </c>
    </row>
    <row r="290" spans="1:5" ht="15.75" x14ac:dyDescent="0.25">
      <c r="A290" s="67" t="s">
        <v>116</v>
      </c>
      <c r="B290" s="16" t="s">
        <v>373</v>
      </c>
      <c r="C290" s="36">
        <v>66224.03</v>
      </c>
      <c r="D290" s="41">
        <v>137500</v>
      </c>
      <c r="E290" s="41">
        <v>650000</v>
      </c>
    </row>
    <row r="291" spans="1:5" ht="15.75" x14ac:dyDescent="0.25">
      <c r="A291" s="67" t="s">
        <v>116</v>
      </c>
      <c r="B291" s="66" t="s">
        <v>474</v>
      </c>
      <c r="C291" s="36">
        <v>201188.72</v>
      </c>
      <c r="D291" s="41">
        <v>582900</v>
      </c>
      <c r="E291" s="41">
        <v>447450</v>
      </c>
    </row>
    <row r="292" spans="1:5" ht="15.75" x14ac:dyDescent="0.25">
      <c r="A292" s="67" t="s">
        <v>469</v>
      </c>
      <c r="B292" s="66" t="s">
        <v>448</v>
      </c>
      <c r="C292" s="36">
        <v>1648857.06</v>
      </c>
      <c r="D292" s="41">
        <v>2500000</v>
      </c>
      <c r="E292" s="41">
        <v>2500000</v>
      </c>
    </row>
    <row r="293" spans="1:5" ht="15.75" x14ac:dyDescent="0.25">
      <c r="A293" s="71" t="s">
        <v>274</v>
      </c>
      <c r="B293" s="16" t="s">
        <v>374</v>
      </c>
      <c r="C293" s="36">
        <v>9497.93</v>
      </c>
      <c r="D293" s="41">
        <v>10000</v>
      </c>
      <c r="E293" s="41">
        <v>10000</v>
      </c>
    </row>
    <row r="294" spans="1:5" ht="15.75" x14ac:dyDescent="0.25">
      <c r="A294" s="71" t="s">
        <v>512</v>
      </c>
      <c r="B294" s="66" t="s">
        <v>513</v>
      </c>
      <c r="C294" s="36">
        <v>0</v>
      </c>
      <c r="D294" s="41">
        <v>59000</v>
      </c>
      <c r="E294" s="41">
        <v>20000</v>
      </c>
    </row>
    <row r="295" spans="1:5" ht="15.75" x14ac:dyDescent="0.25">
      <c r="A295" s="71" t="s">
        <v>179</v>
      </c>
      <c r="B295" s="12" t="s">
        <v>398</v>
      </c>
      <c r="C295" s="36">
        <v>1160.8</v>
      </c>
      <c r="D295" s="56">
        <v>1161</v>
      </c>
      <c r="E295" s="56">
        <v>0</v>
      </c>
    </row>
    <row r="296" spans="1:5" ht="15.75" x14ac:dyDescent="0.25">
      <c r="A296" s="71" t="s">
        <v>419</v>
      </c>
      <c r="B296" s="12" t="s">
        <v>396</v>
      </c>
      <c r="C296" s="36">
        <v>17252.099999999999</v>
      </c>
      <c r="D296" s="56">
        <f>132907-1161</f>
        <v>131746</v>
      </c>
      <c r="E296" s="56">
        <v>172800</v>
      </c>
    </row>
    <row r="297" spans="1:5" ht="15.75" x14ac:dyDescent="0.25">
      <c r="A297" s="71" t="s">
        <v>475</v>
      </c>
      <c r="B297" s="69" t="s">
        <v>476</v>
      </c>
      <c r="C297" s="36">
        <v>3000</v>
      </c>
      <c r="D297" s="56">
        <v>0</v>
      </c>
      <c r="E297" s="56">
        <v>0</v>
      </c>
    </row>
    <row r="298" spans="1:5" ht="16.5" thickBot="1" x14ac:dyDescent="0.3">
      <c r="A298" s="71" t="s">
        <v>514</v>
      </c>
      <c r="B298" s="69" t="s">
        <v>515</v>
      </c>
      <c r="C298" s="36">
        <v>0</v>
      </c>
      <c r="D298" s="56">
        <v>7250</v>
      </c>
      <c r="E298" s="56">
        <v>5500</v>
      </c>
    </row>
    <row r="299" spans="1:5" ht="17.25" thickTop="1" thickBot="1" x14ac:dyDescent="0.3">
      <c r="A299" s="67"/>
      <c r="B299" s="17" t="s">
        <v>6</v>
      </c>
      <c r="C299" s="45">
        <f>SUM(C279:C298)</f>
        <v>7848145.2700000005</v>
      </c>
      <c r="D299" s="45">
        <f>SUM(D279:D298)</f>
        <v>19839344</v>
      </c>
      <c r="E299" s="45">
        <v>19487807</v>
      </c>
    </row>
    <row r="300" spans="1:5" ht="16.5" thickTop="1" x14ac:dyDescent="0.25">
      <c r="A300" s="67"/>
      <c r="B300" s="15"/>
      <c r="C300" s="46"/>
      <c r="D300" s="46"/>
      <c r="E300" s="46"/>
    </row>
    <row r="301" spans="1:5" ht="15.75" x14ac:dyDescent="0.25">
      <c r="A301" s="71" t="s">
        <v>328</v>
      </c>
      <c r="B301" s="7" t="s">
        <v>329</v>
      </c>
      <c r="C301" s="41">
        <v>1592377.29</v>
      </c>
      <c r="D301" s="41">
        <f>1346454+1553206</f>
        <v>2899660</v>
      </c>
      <c r="E301" s="41">
        <v>2559228</v>
      </c>
    </row>
    <row r="302" spans="1:5" ht="15.75" x14ac:dyDescent="0.25">
      <c r="A302" s="71" t="s">
        <v>328</v>
      </c>
      <c r="B302" s="66" t="s">
        <v>477</v>
      </c>
      <c r="C302" s="41">
        <v>0</v>
      </c>
      <c r="D302" s="41">
        <v>5000000</v>
      </c>
      <c r="E302" s="41">
        <v>5000000</v>
      </c>
    </row>
    <row r="303" spans="1:5" ht="15.75" x14ac:dyDescent="0.25">
      <c r="A303" s="71" t="s">
        <v>468</v>
      </c>
      <c r="B303" s="66" t="s">
        <v>470</v>
      </c>
      <c r="C303" s="41">
        <v>1648857.06</v>
      </c>
      <c r="D303" s="41">
        <v>2500000</v>
      </c>
      <c r="E303" s="41">
        <v>2500000</v>
      </c>
    </row>
    <row r="304" spans="1:5" ht="15.75" x14ac:dyDescent="0.25">
      <c r="A304" s="71" t="s">
        <v>468</v>
      </c>
      <c r="B304" s="66" t="s">
        <v>471</v>
      </c>
      <c r="C304" s="41">
        <v>2072672.07</v>
      </c>
      <c r="D304" s="41">
        <v>4000000</v>
      </c>
      <c r="E304" s="41">
        <v>4000000</v>
      </c>
    </row>
    <row r="305" spans="1:5" ht="15.75" x14ac:dyDescent="0.25">
      <c r="A305" s="71" t="s">
        <v>24</v>
      </c>
      <c r="B305" s="16" t="s">
        <v>389</v>
      </c>
      <c r="C305" s="41">
        <v>4998</v>
      </c>
      <c r="D305" s="41">
        <v>25000</v>
      </c>
      <c r="E305" s="41">
        <v>10000</v>
      </c>
    </row>
    <row r="306" spans="1:5" ht="15.75" x14ac:dyDescent="0.25">
      <c r="A306" s="67" t="s">
        <v>249</v>
      </c>
      <c r="B306" s="16" t="s">
        <v>326</v>
      </c>
      <c r="C306" s="41">
        <v>88150.5</v>
      </c>
      <c r="D306" s="41">
        <v>253152</v>
      </c>
      <c r="E306" s="41">
        <v>260204</v>
      </c>
    </row>
    <row r="307" spans="1:5" ht="15.75" x14ac:dyDescent="0.25">
      <c r="A307" s="71" t="s">
        <v>37</v>
      </c>
      <c r="B307" s="16" t="s">
        <v>397</v>
      </c>
      <c r="C307" s="41">
        <v>0</v>
      </c>
      <c r="D307" s="41">
        <f>11000+18398</f>
        <v>29398</v>
      </c>
      <c r="E307" s="41">
        <v>11000</v>
      </c>
    </row>
    <row r="308" spans="1:5" ht="15.75" x14ac:dyDescent="0.25">
      <c r="A308" s="71" t="s">
        <v>156</v>
      </c>
      <c r="B308" s="66" t="s">
        <v>478</v>
      </c>
      <c r="C308" s="41">
        <v>201188.72</v>
      </c>
      <c r="D308" s="41">
        <v>582900</v>
      </c>
      <c r="E308" s="41">
        <v>447450</v>
      </c>
    </row>
    <row r="309" spans="1:5" ht="15.75" x14ac:dyDescent="0.25">
      <c r="A309" s="67" t="s">
        <v>516</v>
      </c>
      <c r="B309" s="16" t="s">
        <v>327</v>
      </c>
      <c r="C309" s="41">
        <v>807326.92</v>
      </c>
      <c r="D309" s="41">
        <f>2506734-14984</f>
        <v>2491750</v>
      </c>
      <c r="E309" s="41">
        <v>2027425</v>
      </c>
    </row>
    <row r="310" spans="1:5" ht="15.75" x14ac:dyDescent="0.25">
      <c r="A310" s="67" t="s">
        <v>375</v>
      </c>
      <c r="B310" s="16" t="s">
        <v>418</v>
      </c>
      <c r="C310" s="41">
        <v>14954.48</v>
      </c>
      <c r="D310" s="41">
        <v>14984</v>
      </c>
      <c r="E310" s="41">
        <v>1020000</v>
      </c>
    </row>
    <row r="311" spans="1:5" ht="15.75" x14ac:dyDescent="0.25">
      <c r="A311" s="71" t="s">
        <v>59</v>
      </c>
      <c r="B311" s="66" t="s">
        <v>472</v>
      </c>
      <c r="C311" s="41">
        <v>2500</v>
      </c>
      <c r="D311" s="41">
        <v>2500</v>
      </c>
      <c r="E311" s="41">
        <v>2500</v>
      </c>
    </row>
    <row r="312" spans="1:5" ht="16.5" thickBot="1" x14ac:dyDescent="0.3">
      <c r="A312" s="71" t="s">
        <v>245</v>
      </c>
      <c r="B312" s="16" t="s">
        <v>334</v>
      </c>
      <c r="C312" s="41">
        <v>1415120.23</v>
      </c>
      <c r="D312" s="41">
        <v>2040000</v>
      </c>
      <c r="E312" s="41">
        <v>1650000</v>
      </c>
    </row>
    <row r="313" spans="1:5" ht="17.25" thickTop="1" thickBot="1" x14ac:dyDescent="0.3">
      <c r="A313" s="67"/>
      <c r="B313" s="17" t="s">
        <v>50</v>
      </c>
      <c r="C313" s="51">
        <f>SUM(C301:C312)</f>
        <v>7848145.2699999996</v>
      </c>
      <c r="D313" s="51">
        <f>SUM(D301:D312)</f>
        <v>19839344</v>
      </c>
      <c r="E313" s="51">
        <v>19487807</v>
      </c>
    </row>
    <row r="314" spans="1:5" ht="17.25" thickTop="1" thickBot="1" x14ac:dyDescent="0.3">
      <c r="A314" s="67"/>
      <c r="B314" s="15"/>
      <c r="C314" s="74"/>
      <c r="D314" s="74"/>
      <c r="E314" s="74"/>
    </row>
    <row r="315" spans="1:5" ht="21" thickTop="1" thickBot="1" x14ac:dyDescent="0.45">
      <c r="A315" s="67"/>
      <c r="B315" s="30" t="s">
        <v>67</v>
      </c>
    </row>
    <row r="316" spans="1:5" ht="16.5" thickTop="1" x14ac:dyDescent="0.25">
      <c r="A316" s="67"/>
      <c r="B316" s="4" t="s">
        <v>2</v>
      </c>
    </row>
    <row r="317" spans="1:5" ht="15.75" x14ac:dyDescent="0.25">
      <c r="A317" s="67" t="s">
        <v>114</v>
      </c>
      <c r="B317" s="16" t="s">
        <v>115</v>
      </c>
      <c r="C317" s="44">
        <v>780297.06</v>
      </c>
      <c r="D317" s="44">
        <v>908450</v>
      </c>
      <c r="E317" s="44">
        <v>1007360</v>
      </c>
    </row>
    <row r="318" spans="1:5" ht="15.75" x14ac:dyDescent="0.25">
      <c r="A318" s="67" t="s">
        <v>116</v>
      </c>
      <c r="B318" s="16" t="s">
        <v>117</v>
      </c>
      <c r="C318" s="44">
        <v>71157.33</v>
      </c>
      <c r="D318" s="44">
        <v>99919</v>
      </c>
      <c r="E318" s="44">
        <v>79644</v>
      </c>
    </row>
    <row r="319" spans="1:5" ht="15.75" x14ac:dyDescent="0.25">
      <c r="A319" s="67" t="s">
        <v>118</v>
      </c>
      <c r="B319" s="16" t="s">
        <v>119</v>
      </c>
      <c r="C319" s="44">
        <v>1249.4100000000001</v>
      </c>
      <c r="D319" s="44">
        <v>50</v>
      </c>
      <c r="E319" s="44">
        <v>0</v>
      </c>
    </row>
    <row r="320" spans="1:5" ht="15.75" x14ac:dyDescent="0.25">
      <c r="A320" s="71" t="s">
        <v>105</v>
      </c>
      <c r="B320" s="12" t="s">
        <v>120</v>
      </c>
      <c r="C320" s="44">
        <v>109746.17</v>
      </c>
      <c r="D320" s="44">
        <v>117658</v>
      </c>
      <c r="E320" s="44">
        <v>150838</v>
      </c>
    </row>
    <row r="321" spans="1:5" ht="15.75" x14ac:dyDescent="0.25">
      <c r="A321" s="71" t="s">
        <v>179</v>
      </c>
      <c r="B321" s="7" t="s">
        <v>189</v>
      </c>
      <c r="C321" s="44">
        <v>76753.53</v>
      </c>
      <c r="D321" s="44">
        <v>132638</v>
      </c>
      <c r="E321" s="44">
        <v>75310</v>
      </c>
    </row>
    <row r="322" spans="1:5" ht="16.5" thickBot="1" x14ac:dyDescent="0.3">
      <c r="A322" s="71" t="s">
        <v>226</v>
      </c>
      <c r="B322" s="12" t="s">
        <v>108</v>
      </c>
      <c r="C322" s="44">
        <f>C329-SUM(C317:C321)</f>
        <v>28259.189999999828</v>
      </c>
      <c r="D322" s="44">
        <v>27380</v>
      </c>
      <c r="E322" s="44">
        <v>19885</v>
      </c>
    </row>
    <row r="323" spans="1:5" ht="17.25" thickTop="1" thickBot="1" x14ac:dyDescent="0.3">
      <c r="A323" s="67"/>
      <c r="B323" s="17" t="s">
        <v>6</v>
      </c>
      <c r="C323" s="45">
        <f>SUM(C317:C322)</f>
        <v>1067462.69</v>
      </c>
      <c r="D323" s="45">
        <f>SUM(D317:D322)</f>
        <v>1286095</v>
      </c>
      <c r="E323" s="45">
        <v>1333037</v>
      </c>
    </row>
    <row r="324" spans="1:5" ht="16.5" thickTop="1" x14ac:dyDescent="0.25">
      <c r="A324" s="67"/>
      <c r="B324" s="15"/>
      <c r="C324" s="46"/>
      <c r="D324" s="46"/>
      <c r="E324" s="46"/>
    </row>
    <row r="325" spans="1:5" ht="15.75" x14ac:dyDescent="0.25">
      <c r="A325" s="71" t="s">
        <v>420</v>
      </c>
      <c r="B325" s="7" t="s">
        <v>25</v>
      </c>
      <c r="C325" s="41">
        <v>932616.97</v>
      </c>
      <c r="D325" s="41">
        <v>1030469</v>
      </c>
      <c r="E325" s="41">
        <v>1015097</v>
      </c>
    </row>
    <row r="326" spans="1:5" ht="15.75" x14ac:dyDescent="0.25">
      <c r="A326" s="71" t="s">
        <v>66</v>
      </c>
      <c r="B326" s="16" t="s">
        <v>301</v>
      </c>
      <c r="C326" s="41">
        <f>1067462.69-C325</f>
        <v>134845.71999999997</v>
      </c>
      <c r="D326" s="41">
        <v>183063</v>
      </c>
      <c r="E326" s="41">
        <v>167940</v>
      </c>
    </row>
    <row r="327" spans="1:5" ht="15.75" x14ac:dyDescent="0.25">
      <c r="A327" s="71" t="s">
        <v>421</v>
      </c>
      <c r="B327" s="7" t="s">
        <v>232</v>
      </c>
      <c r="C327" s="41">
        <v>0</v>
      </c>
      <c r="D327" s="41">
        <v>14169</v>
      </c>
      <c r="E327" s="41">
        <v>0</v>
      </c>
    </row>
    <row r="328" spans="1:5" ht="16.5" thickBot="1" x14ac:dyDescent="0.3">
      <c r="A328" s="67" t="s">
        <v>298</v>
      </c>
      <c r="B328" s="7" t="s">
        <v>233</v>
      </c>
      <c r="C328" s="41">
        <v>0</v>
      </c>
      <c r="D328" s="41">
        <v>58394</v>
      </c>
      <c r="E328" s="41">
        <v>150000</v>
      </c>
    </row>
    <row r="329" spans="1:5" ht="17.25" thickTop="1" thickBot="1" x14ac:dyDescent="0.3">
      <c r="A329" s="71" t="s">
        <v>66</v>
      </c>
      <c r="B329" s="17" t="s">
        <v>50</v>
      </c>
      <c r="C329" s="51">
        <f>SUM(C325:C328)</f>
        <v>1067462.69</v>
      </c>
      <c r="D329" s="51">
        <f>SUM(D325:D328)</f>
        <v>1286095</v>
      </c>
      <c r="E329" s="51">
        <v>1333037</v>
      </c>
    </row>
    <row r="330" spans="1:5" ht="17.25" thickTop="1" thickBot="1" x14ac:dyDescent="0.3">
      <c r="A330" s="67"/>
      <c r="B330" s="15"/>
      <c r="C330" s="46"/>
      <c r="D330" s="46"/>
      <c r="E330" s="46"/>
    </row>
    <row r="331" spans="1:5" ht="21" thickTop="1" thickBot="1" x14ac:dyDescent="0.45">
      <c r="A331" s="67"/>
      <c r="B331" s="30" t="s">
        <v>422</v>
      </c>
      <c r="C331" s="46"/>
      <c r="D331" s="46"/>
      <c r="E331" s="46"/>
    </row>
    <row r="332" spans="1:5" ht="16.5" thickTop="1" x14ac:dyDescent="0.25">
      <c r="A332" s="67"/>
      <c r="B332" s="4" t="s">
        <v>2</v>
      </c>
      <c r="C332" s="46"/>
      <c r="D332" s="46"/>
      <c r="E332" s="46"/>
    </row>
    <row r="333" spans="1:5" ht="15.75" x14ac:dyDescent="0.25">
      <c r="A333" s="67" t="s">
        <v>116</v>
      </c>
      <c r="B333" s="7" t="s">
        <v>117</v>
      </c>
      <c r="C333" s="44">
        <v>367665.86</v>
      </c>
      <c r="D333" s="44">
        <v>308565</v>
      </c>
      <c r="E333" s="44">
        <v>326350</v>
      </c>
    </row>
    <row r="334" spans="1:5" ht="15.75" x14ac:dyDescent="0.25">
      <c r="A334" s="67" t="s">
        <v>118</v>
      </c>
      <c r="B334" s="16" t="s">
        <v>119</v>
      </c>
      <c r="C334" s="44">
        <v>3501.15</v>
      </c>
      <c r="D334" s="44">
        <v>3635</v>
      </c>
      <c r="E334" s="44">
        <v>4000</v>
      </c>
    </row>
    <row r="335" spans="1:5" ht="16.5" thickBot="1" x14ac:dyDescent="0.3">
      <c r="A335" s="71" t="s">
        <v>226</v>
      </c>
      <c r="B335" s="7" t="s">
        <v>108</v>
      </c>
      <c r="C335" s="44">
        <v>0</v>
      </c>
      <c r="D335" s="44">
        <v>191289</v>
      </c>
      <c r="E335" s="44">
        <v>198755</v>
      </c>
    </row>
    <row r="336" spans="1:5" ht="17.25" thickTop="1" thickBot="1" x14ac:dyDescent="0.3">
      <c r="A336" s="67"/>
      <c r="B336" s="17" t="s">
        <v>6</v>
      </c>
      <c r="C336" s="45">
        <f>SUM(C333:C335)</f>
        <v>371167.01</v>
      </c>
      <c r="D336" s="45">
        <f>SUM(D333:D335)</f>
        <v>503489</v>
      </c>
      <c r="E336" s="45">
        <v>529105</v>
      </c>
    </row>
    <row r="337" spans="1:5" ht="16.5" thickTop="1" x14ac:dyDescent="0.25">
      <c r="A337" s="67"/>
      <c r="B337" s="15"/>
      <c r="C337" s="46"/>
      <c r="D337" s="46"/>
      <c r="E337" s="46"/>
    </row>
    <row r="338" spans="1:5" ht="15.75" x14ac:dyDescent="0.25">
      <c r="A338" s="71" t="s">
        <v>423</v>
      </c>
      <c r="B338" s="7" t="s">
        <v>25</v>
      </c>
      <c r="C338" s="44">
        <v>165535.26999999999</v>
      </c>
      <c r="D338" s="44">
        <v>311893</v>
      </c>
      <c r="E338" s="44">
        <v>312543</v>
      </c>
    </row>
    <row r="339" spans="1:5" ht="15.75" x14ac:dyDescent="0.25">
      <c r="A339" s="71" t="s">
        <v>72</v>
      </c>
      <c r="B339" s="16" t="s">
        <v>301</v>
      </c>
      <c r="C339" s="44">
        <v>125642.27</v>
      </c>
      <c r="D339" s="44">
        <v>166596</v>
      </c>
      <c r="E339" s="44">
        <v>166562</v>
      </c>
    </row>
    <row r="340" spans="1:5" ht="15.75" x14ac:dyDescent="0.25">
      <c r="A340" s="71" t="s">
        <v>424</v>
      </c>
      <c r="B340" s="7" t="s">
        <v>232</v>
      </c>
      <c r="C340" s="44">
        <v>0</v>
      </c>
      <c r="D340" s="44">
        <v>0</v>
      </c>
      <c r="E340" s="44">
        <v>0</v>
      </c>
    </row>
    <row r="341" spans="1:5" ht="16.5" thickBot="1" x14ac:dyDescent="0.3">
      <c r="A341" s="67" t="s">
        <v>299</v>
      </c>
      <c r="B341" s="7" t="s">
        <v>233</v>
      </c>
      <c r="C341" s="44">
        <f>C336-C338-C339</f>
        <v>79989.470000000016</v>
      </c>
      <c r="D341" s="44">
        <v>25000</v>
      </c>
      <c r="E341" s="44">
        <v>50000</v>
      </c>
    </row>
    <row r="342" spans="1:5" ht="17.25" thickTop="1" thickBot="1" x14ac:dyDescent="0.3">
      <c r="A342" s="71"/>
      <c r="B342" s="17" t="s">
        <v>50</v>
      </c>
      <c r="C342" s="52">
        <f>SUM(C338:C341)</f>
        <v>371167.01</v>
      </c>
      <c r="D342" s="52">
        <f>SUM(D338:D341)</f>
        <v>503489</v>
      </c>
      <c r="E342" s="52">
        <v>529105</v>
      </c>
    </row>
    <row r="343" spans="1:5" ht="17.25" thickTop="1" thickBot="1" x14ac:dyDescent="0.3">
      <c r="A343" s="67"/>
      <c r="B343" s="15"/>
    </row>
    <row r="344" spans="1:5" ht="21" thickTop="1" thickBot="1" x14ac:dyDescent="0.45">
      <c r="A344" s="67"/>
      <c r="B344" s="30" t="s">
        <v>357</v>
      </c>
      <c r="C344" s="46"/>
      <c r="D344" s="46"/>
      <c r="E344" s="46"/>
    </row>
    <row r="345" spans="1:5" ht="16.5" thickTop="1" x14ac:dyDescent="0.25">
      <c r="A345" s="67"/>
      <c r="B345" s="4" t="s">
        <v>2</v>
      </c>
      <c r="C345" s="46"/>
      <c r="D345" s="46"/>
      <c r="E345" s="46"/>
    </row>
    <row r="346" spans="1:5" ht="15.75" x14ac:dyDescent="0.25">
      <c r="A346" s="67" t="s">
        <v>114</v>
      </c>
      <c r="B346" s="7" t="s">
        <v>122</v>
      </c>
      <c r="C346" s="44">
        <v>0</v>
      </c>
      <c r="D346" s="44">
        <v>0</v>
      </c>
      <c r="E346" s="44">
        <v>0</v>
      </c>
    </row>
    <row r="347" spans="1:5" ht="15.75" x14ac:dyDescent="0.25">
      <c r="A347" s="67" t="s">
        <v>116</v>
      </c>
      <c r="B347" s="16" t="s">
        <v>117</v>
      </c>
      <c r="C347" s="44">
        <v>2067306.09</v>
      </c>
      <c r="D347" s="44">
        <v>2836359</v>
      </c>
      <c r="E347" s="44">
        <v>2964374</v>
      </c>
    </row>
    <row r="348" spans="1:5" ht="15.75" x14ac:dyDescent="0.25">
      <c r="A348" s="67" t="s">
        <v>118</v>
      </c>
      <c r="B348" s="16" t="s">
        <v>119</v>
      </c>
      <c r="C348" s="44">
        <v>8162.95</v>
      </c>
      <c r="D348" s="44">
        <v>0</v>
      </c>
      <c r="E348" s="44">
        <v>0</v>
      </c>
    </row>
    <row r="349" spans="1:5" ht="15.75" x14ac:dyDescent="0.25">
      <c r="A349" s="71" t="s">
        <v>105</v>
      </c>
      <c r="B349" s="12" t="s">
        <v>120</v>
      </c>
      <c r="C349" s="44">
        <v>197831.59</v>
      </c>
      <c r="D349" s="44">
        <v>75537</v>
      </c>
      <c r="E349" s="44">
        <v>0</v>
      </c>
    </row>
    <row r="350" spans="1:5" ht="16.5" thickBot="1" x14ac:dyDescent="0.3">
      <c r="A350" s="71" t="s">
        <v>226</v>
      </c>
      <c r="B350" s="7" t="s">
        <v>187</v>
      </c>
      <c r="C350" s="44">
        <v>0</v>
      </c>
      <c r="D350" s="44">
        <v>0</v>
      </c>
      <c r="E350" s="44">
        <v>0</v>
      </c>
    </row>
    <row r="351" spans="1:5" ht="17.25" thickTop="1" thickBot="1" x14ac:dyDescent="0.3">
      <c r="A351" s="67"/>
      <c r="B351" s="17" t="s">
        <v>6</v>
      </c>
      <c r="C351" s="45">
        <f>SUM(C346:C350)</f>
        <v>2273300.63</v>
      </c>
      <c r="D351" s="45">
        <f>SUM(D346:D350)</f>
        <v>2911896</v>
      </c>
      <c r="E351" s="45">
        <v>2964374</v>
      </c>
    </row>
    <row r="352" spans="1:5" ht="16.5" thickTop="1" x14ac:dyDescent="0.25">
      <c r="A352" s="67"/>
      <c r="B352" s="15"/>
      <c r="C352" s="46"/>
      <c r="D352" s="46"/>
      <c r="E352" s="46"/>
    </row>
    <row r="353" spans="1:5" ht="15.75" x14ac:dyDescent="0.25">
      <c r="A353" s="67"/>
      <c r="B353" s="4" t="s">
        <v>7</v>
      </c>
      <c r="C353" s="46"/>
      <c r="D353" s="46"/>
      <c r="E353" s="46"/>
    </row>
    <row r="354" spans="1:5" ht="15.75" x14ac:dyDescent="0.25">
      <c r="A354" s="71" t="s">
        <v>378</v>
      </c>
      <c r="B354" s="7" t="s">
        <v>379</v>
      </c>
      <c r="C354" s="44">
        <v>1944183.73</v>
      </c>
      <c r="D354" s="44">
        <v>2428823</v>
      </c>
      <c r="E354" s="44">
        <v>2394397</v>
      </c>
    </row>
    <row r="355" spans="1:5" ht="15.75" x14ac:dyDescent="0.25">
      <c r="A355" s="71"/>
      <c r="B355" s="62" t="s">
        <v>449</v>
      </c>
      <c r="C355" s="63">
        <v>1409036.56</v>
      </c>
      <c r="D355" s="63">
        <v>1719355</v>
      </c>
      <c r="E355" s="63">
        <v>1727034</v>
      </c>
    </row>
    <row r="356" spans="1:5" ht="15.75" x14ac:dyDescent="0.25">
      <c r="A356" s="71"/>
      <c r="B356" s="62" t="s">
        <v>452</v>
      </c>
      <c r="C356" s="63">
        <f>342420-1731</f>
        <v>340689</v>
      </c>
      <c r="D356" s="63">
        <v>363033</v>
      </c>
      <c r="E356" s="63">
        <v>393352</v>
      </c>
    </row>
    <row r="357" spans="1:5" ht="15.75" x14ac:dyDescent="0.25">
      <c r="A357" s="71"/>
      <c r="B357" s="62" t="s">
        <v>450</v>
      </c>
      <c r="C357" s="63">
        <v>0</v>
      </c>
      <c r="D357" s="63">
        <v>0</v>
      </c>
      <c r="E357" s="63">
        <v>0</v>
      </c>
    </row>
    <row r="358" spans="1:5" ht="15.75" x14ac:dyDescent="0.25">
      <c r="A358" s="71"/>
      <c r="B358" s="62" t="s">
        <v>451</v>
      </c>
      <c r="C358" s="63">
        <f>C354-SUM(C355:C357)</f>
        <v>194458.16999999993</v>
      </c>
      <c r="D358" s="63">
        <f>D354-SUM(D355:D357)</f>
        <v>346435</v>
      </c>
      <c r="E358" s="63">
        <v>274011</v>
      </c>
    </row>
    <row r="359" spans="1:5" ht="15.75" x14ac:dyDescent="0.25">
      <c r="A359" s="71" t="s">
        <v>380</v>
      </c>
      <c r="B359" s="7" t="s">
        <v>381</v>
      </c>
      <c r="C359" s="44">
        <v>101995.87</v>
      </c>
      <c r="D359" s="44">
        <v>119792</v>
      </c>
      <c r="E359" s="44">
        <v>130332</v>
      </c>
    </row>
    <row r="360" spans="1:5" ht="15.75" x14ac:dyDescent="0.25">
      <c r="A360" s="71"/>
      <c r="B360" s="62" t="s">
        <v>449</v>
      </c>
      <c r="C360" s="63">
        <v>87658.67</v>
      </c>
      <c r="D360" s="63">
        <v>100889</v>
      </c>
      <c r="E360" s="63">
        <v>104121</v>
      </c>
    </row>
    <row r="361" spans="1:5" ht="15.75" x14ac:dyDescent="0.25">
      <c r="A361" s="71"/>
      <c r="B361" s="62" t="s">
        <v>452</v>
      </c>
      <c r="C361" s="63">
        <v>11487.37</v>
      </c>
      <c r="D361" s="63">
        <v>9695</v>
      </c>
      <c r="E361" s="63">
        <v>11986</v>
      </c>
    </row>
    <row r="362" spans="1:5" ht="15.75" x14ac:dyDescent="0.25">
      <c r="A362" s="71"/>
      <c r="B362" s="62" t="s">
        <v>450</v>
      </c>
      <c r="C362" s="63">
        <v>0</v>
      </c>
      <c r="D362" s="63">
        <v>0</v>
      </c>
      <c r="E362" s="63">
        <v>0</v>
      </c>
    </row>
    <row r="363" spans="1:5" ht="15.75" x14ac:dyDescent="0.25">
      <c r="A363" s="71"/>
      <c r="B363" s="62" t="s">
        <v>451</v>
      </c>
      <c r="C363" s="63">
        <f>C359-SUM(C360:C362)</f>
        <v>2849.8300000000017</v>
      </c>
      <c r="D363" s="63">
        <f>D359-SUM(D360:D362)</f>
        <v>9208</v>
      </c>
      <c r="E363" s="63">
        <v>4025</v>
      </c>
    </row>
    <row r="364" spans="1:5" ht="15.75" x14ac:dyDescent="0.25">
      <c r="A364" s="71" t="s">
        <v>382</v>
      </c>
      <c r="B364" s="7" t="s">
        <v>383</v>
      </c>
      <c r="C364" s="44">
        <v>122598.87</v>
      </c>
      <c r="D364" s="44">
        <v>146971</v>
      </c>
      <c r="E364" s="44">
        <v>129827</v>
      </c>
    </row>
    <row r="365" spans="1:5" ht="15.75" x14ac:dyDescent="0.25">
      <c r="A365" s="71"/>
      <c r="B365" s="62" t="s">
        <v>449</v>
      </c>
      <c r="C365" s="63">
        <v>109716.79</v>
      </c>
      <c r="D365" s="63">
        <v>129792</v>
      </c>
      <c r="E365" s="63">
        <v>113466</v>
      </c>
    </row>
    <row r="366" spans="1:5" ht="15.75" x14ac:dyDescent="0.25">
      <c r="A366" s="71"/>
      <c r="B366" s="62" t="s">
        <v>452</v>
      </c>
      <c r="C366" s="63">
        <v>10374.56</v>
      </c>
      <c r="D366" s="63">
        <v>12684</v>
      </c>
      <c r="E366" s="63">
        <v>11986</v>
      </c>
    </row>
    <row r="367" spans="1:5" ht="15.75" x14ac:dyDescent="0.25">
      <c r="A367" s="71"/>
      <c r="B367" s="62" t="s">
        <v>450</v>
      </c>
      <c r="C367" s="63">
        <v>0</v>
      </c>
      <c r="D367" s="63">
        <v>0</v>
      </c>
      <c r="E367" s="63">
        <v>0</v>
      </c>
    </row>
    <row r="368" spans="1:5" ht="15.75" x14ac:dyDescent="0.25">
      <c r="A368" s="71"/>
      <c r="B368" s="62" t="s">
        <v>451</v>
      </c>
      <c r="C368" s="63">
        <f>C364-SUM(C365:C367)</f>
        <v>2507.5200000000041</v>
      </c>
      <c r="D368" s="63">
        <f>D364-SUM(D365:D367)</f>
        <v>4495</v>
      </c>
      <c r="E368" s="63">
        <v>4375</v>
      </c>
    </row>
    <row r="369" spans="1:5" ht="15.75" x14ac:dyDescent="0.25">
      <c r="A369" s="71" t="s">
        <v>384</v>
      </c>
      <c r="B369" s="7" t="s">
        <v>385</v>
      </c>
      <c r="C369" s="44">
        <v>104522.16</v>
      </c>
      <c r="D369" s="44">
        <v>156699</v>
      </c>
      <c r="E369" s="44">
        <v>170329</v>
      </c>
    </row>
    <row r="370" spans="1:5" ht="15.75" x14ac:dyDescent="0.25">
      <c r="A370" s="71"/>
      <c r="B370" s="62" t="s">
        <v>449</v>
      </c>
      <c r="C370" s="63">
        <v>80419.759999999995</v>
      </c>
      <c r="D370" s="63">
        <v>132003</v>
      </c>
      <c r="E370" s="63">
        <v>141582</v>
      </c>
    </row>
    <row r="371" spans="1:5" ht="15.75" x14ac:dyDescent="0.25">
      <c r="A371" s="71"/>
      <c r="B371" s="62" t="s">
        <v>452</v>
      </c>
      <c r="C371" s="63">
        <v>22346.29</v>
      </c>
      <c r="D371" s="63">
        <v>20791</v>
      </c>
      <c r="E371" s="63">
        <v>24962</v>
      </c>
    </row>
    <row r="372" spans="1:5" ht="15.75" x14ac:dyDescent="0.25">
      <c r="A372" s="71"/>
      <c r="B372" s="62" t="s">
        <v>450</v>
      </c>
      <c r="C372" s="63">
        <v>0</v>
      </c>
      <c r="D372" s="63">
        <v>0</v>
      </c>
      <c r="E372" s="63">
        <v>0</v>
      </c>
    </row>
    <row r="373" spans="1:5" ht="15.75" x14ac:dyDescent="0.25">
      <c r="A373" s="71"/>
      <c r="B373" s="62" t="s">
        <v>451</v>
      </c>
      <c r="C373" s="63">
        <f>C369-SUM(C370:C372)</f>
        <v>1756.1100000000151</v>
      </c>
      <c r="D373" s="63">
        <f>D369-SUM(D370:D372)</f>
        <v>3905</v>
      </c>
      <c r="E373" s="63">
        <v>3785</v>
      </c>
    </row>
    <row r="374" spans="1:5" ht="16.5" thickBot="1" x14ac:dyDescent="0.3">
      <c r="A374" s="67" t="s">
        <v>386</v>
      </c>
      <c r="B374" s="7" t="s">
        <v>233</v>
      </c>
      <c r="C374" s="44">
        <v>0</v>
      </c>
      <c r="D374" s="44">
        <v>59611</v>
      </c>
      <c r="E374" s="44">
        <v>139489</v>
      </c>
    </row>
    <row r="375" spans="1:5" ht="17.25" thickTop="1" thickBot="1" x14ac:dyDescent="0.3">
      <c r="A375" s="67"/>
      <c r="B375" s="17" t="s">
        <v>50</v>
      </c>
      <c r="C375" s="45">
        <f>C354+C359+C364+C369+C374</f>
        <v>2273300.6300000004</v>
      </c>
      <c r="D375" s="45">
        <f>D354+D359+D364+D369+D374</f>
        <v>2911896</v>
      </c>
      <c r="E375" s="45">
        <v>2964374</v>
      </c>
    </row>
    <row r="376" spans="1:5" ht="17.25" thickTop="1" thickBot="1" x14ac:dyDescent="0.3">
      <c r="A376" s="67"/>
      <c r="B376" s="15"/>
      <c r="C376" s="46"/>
      <c r="D376" s="46"/>
      <c r="E376" s="46"/>
    </row>
    <row r="377" spans="1:5" ht="21" thickTop="1" thickBot="1" x14ac:dyDescent="0.45">
      <c r="A377" s="67"/>
      <c r="B377" s="30" t="s">
        <v>181</v>
      </c>
    </row>
    <row r="378" spans="1:5" ht="16.5" thickTop="1" x14ac:dyDescent="0.25">
      <c r="A378" s="67"/>
      <c r="B378" s="4" t="s">
        <v>2</v>
      </c>
    </row>
    <row r="379" spans="1:5" ht="15.75" x14ac:dyDescent="0.25">
      <c r="A379" s="67" t="s">
        <v>73</v>
      </c>
      <c r="B379" s="7" t="s">
        <v>190</v>
      </c>
      <c r="C379" s="44">
        <v>1795142.37</v>
      </c>
      <c r="D379" s="44">
        <v>2100000</v>
      </c>
      <c r="E379" s="44">
        <v>2163000</v>
      </c>
    </row>
    <row r="380" spans="1:5" ht="15.75" x14ac:dyDescent="0.25">
      <c r="A380" s="67" t="s">
        <v>191</v>
      </c>
      <c r="B380" s="16" t="s">
        <v>192</v>
      </c>
      <c r="C380" s="44">
        <v>747975.99</v>
      </c>
      <c r="D380" s="44">
        <v>829587</v>
      </c>
      <c r="E380" s="44">
        <v>901250</v>
      </c>
    </row>
    <row r="381" spans="1:5" ht="15.75" x14ac:dyDescent="0.25">
      <c r="A381" s="67" t="s">
        <v>118</v>
      </c>
      <c r="B381" s="16" t="s">
        <v>119</v>
      </c>
      <c r="C381" s="44">
        <v>159.24</v>
      </c>
      <c r="D381" s="44">
        <v>200</v>
      </c>
      <c r="E381" s="44">
        <v>0</v>
      </c>
    </row>
    <row r="382" spans="1:5" ht="16.5" thickBot="1" x14ac:dyDescent="0.3">
      <c r="A382" s="71" t="s">
        <v>226</v>
      </c>
      <c r="B382" s="7" t="s">
        <v>108</v>
      </c>
      <c r="C382" s="44">
        <f>C391-C379-C380-C381</f>
        <v>380770.16999999993</v>
      </c>
      <c r="D382" s="44">
        <v>0</v>
      </c>
      <c r="E382" s="44">
        <v>0</v>
      </c>
    </row>
    <row r="383" spans="1:5" ht="17.25" thickTop="1" thickBot="1" x14ac:dyDescent="0.3">
      <c r="A383" s="67"/>
      <c r="B383" s="17" t="s">
        <v>6</v>
      </c>
      <c r="C383" s="45">
        <f>SUM(C379:C382)</f>
        <v>2924047.7700000005</v>
      </c>
      <c r="D383" s="45">
        <f>SUM(D379:D382)</f>
        <v>2929787</v>
      </c>
      <c r="E383" s="45">
        <v>3064250</v>
      </c>
    </row>
    <row r="384" spans="1:5" ht="16.5" thickTop="1" x14ac:dyDescent="0.25">
      <c r="A384" s="67"/>
      <c r="B384" s="10"/>
    </row>
    <row r="385" spans="1:5" ht="15.75" x14ac:dyDescent="0.25">
      <c r="A385" s="67"/>
      <c r="B385" s="4" t="s">
        <v>7</v>
      </c>
    </row>
    <row r="386" spans="1:5" ht="15.75" x14ac:dyDescent="0.25">
      <c r="A386" s="71" t="s">
        <v>164</v>
      </c>
      <c r="B386" s="7" t="s">
        <v>124</v>
      </c>
      <c r="C386" s="44">
        <v>1393900</v>
      </c>
      <c r="D386" s="44">
        <v>1551641</v>
      </c>
      <c r="E386" s="44">
        <v>1678926</v>
      </c>
    </row>
    <row r="387" spans="1:5" ht="15.75" x14ac:dyDescent="0.25">
      <c r="A387" s="71" t="s">
        <v>164</v>
      </c>
      <c r="B387" s="7" t="s">
        <v>425</v>
      </c>
      <c r="C387" s="44">
        <v>113000</v>
      </c>
      <c r="D387" s="44">
        <v>113000</v>
      </c>
      <c r="E387" s="44">
        <v>113000</v>
      </c>
    </row>
    <row r="388" spans="1:5" ht="15.75" x14ac:dyDescent="0.25">
      <c r="A388" s="71" t="s">
        <v>74</v>
      </c>
      <c r="B388" s="7" t="s">
        <v>176</v>
      </c>
      <c r="C388" s="44">
        <v>10478.06</v>
      </c>
      <c r="D388" s="44">
        <v>0</v>
      </c>
      <c r="E388" s="44">
        <v>0</v>
      </c>
    </row>
    <row r="389" spans="1:5" ht="15.75" x14ac:dyDescent="0.25">
      <c r="A389" s="71" t="s">
        <v>300</v>
      </c>
      <c r="B389" s="16" t="s">
        <v>276</v>
      </c>
      <c r="C389" s="44">
        <v>1406669.71</v>
      </c>
      <c r="D389" s="44">
        <v>1119133</v>
      </c>
      <c r="E389" s="44">
        <v>1220969</v>
      </c>
    </row>
    <row r="390" spans="1:5" ht="16.5" thickBot="1" x14ac:dyDescent="0.3">
      <c r="A390" s="71" t="s">
        <v>177</v>
      </c>
      <c r="B390" s="7" t="s">
        <v>233</v>
      </c>
      <c r="C390" s="44">
        <v>0</v>
      </c>
      <c r="D390" s="44">
        <v>146033</v>
      </c>
      <c r="E390" s="44">
        <v>51355</v>
      </c>
    </row>
    <row r="391" spans="1:5" ht="17.25" thickTop="1" thickBot="1" x14ac:dyDescent="0.3">
      <c r="A391" s="67" t="s">
        <v>8</v>
      </c>
      <c r="B391" s="17" t="s">
        <v>50</v>
      </c>
      <c r="C391" s="45">
        <f>SUM(C386:C390)</f>
        <v>2924047.77</v>
      </c>
      <c r="D391" s="45">
        <f>SUM(D386:D390)</f>
        <v>2929807</v>
      </c>
      <c r="E391" s="45">
        <v>3064250</v>
      </c>
    </row>
    <row r="392" spans="1:5" ht="17.25" thickTop="1" thickBot="1" x14ac:dyDescent="0.3">
      <c r="A392" s="67"/>
      <c r="B392" s="10"/>
    </row>
    <row r="393" spans="1:5" ht="21" thickTop="1" thickBot="1" x14ac:dyDescent="0.45">
      <c r="A393" s="67"/>
      <c r="B393" s="30" t="s">
        <v>182</v>
      </c>
    </row>
    <row r="394" spans="1:5" ht="16.5" thickTop="1" x14ac:dyDescent="0.25">
      <c r="A394" s="67"/>
      <c r="B394" s="4" t="s">
        <v>2</v>
      </c>
    </row>
    <row r="395" spans="1:5" ht="15.75" x14ac:dyDescent="0.25">
      <c r="A395" s="71" t="s">
        <v>260</v>
      </c>
      <c r="B395" s="7" t="s">
        <v>75</v>
      </c>
      <c r="C395" s="44">
        <v>6242779.8499999996</v>
      </c>
      <c r="D395" s="44">
        <v>7100000</v>
      </c>
      <c r="E395" s="44">
        <v>7313000</v>
      </c>
    </row>
    <row r="396" spans="1:5" ht="15.75" x14ac:dyDescent="0.25">
      <c r="A396" s="71" t="s">
        <v>261</v>
      </c>
      <c r="B396" s="7" t="s">
        <v>123</v>
      </c>
      <c r="C396" s="44">
        <v>927234.54</v>
      </c>
      <c r="D396" s="44">
        <v>1000000</v>
      </c>
      <c r="E396" s="44">
        <v>1030000</v>
      </c>
    </row>
    <row r="397" spans="1:5" ht="15.75" x14ac:dyDescent="0.25">
      <c r="A397" s="67" t="s">
        <v>114</v>
      </c>
      <c r="B397" s="7" t="s">
        <v>122</v>
      </c>
      <c r="C397" s="44">
        <v>0</v>
      </c>
      <c r="D397" s="44">
        <v>0</v>
      </c>
      <c r="E397" s="44">
        <v>0</v>
      </c>
    </row>
    <row r="398" spans="1:5" ht="15.75" x14ac:dyDescent="0.25">
      <c r="A398" s="67" t="s">
        <v>116</v>
      </c>
      <c r="B398" s="7" t="s">
        <v>117</v>
      </c>
      <c r="C398" s="44">
        <v>17210</v>
      </c>
      <c r="D398" s="44">
        <v>14210</v>
      </c>
      <c r="E398" s="44">
        <v>14200</v>
      </c>
    </row>
    <row r="399" spans="1:5" ht="15.75" x14ac:dyDescent="0.25">
      <c r="A399" s="71" t="s">
        <v>403</v>
      </c>
      <c r="B399" s="7" t="s">
        <v>19</v>
      </c>
      <c r="C399" s="36">
        <v>150382.44</v>
      </c>
      <c r="D399" s="36">
        <v>140000</v>
      </c>
      <c r="E399" s="36">
        <v>150000</v>
      </c>
    </row>
    <row r="400" spans="1:5" ht="15.75" x14ac:dyDescent="0.25">
      <c r="A400" s="67" t="s">
        <v>118</v>
      </c>
      <c r="B400" s="16" t="s">
        <v>119</v>
      </c>
      <c r="C400" s="44">
        <v>41396.660000000003</v>
      </c>
      <c r="D400" s="44">
        <v>41489</v>
      </c>
      <c r="E400" s="44">
        <v>40000</v>
      </c>
    </row>
    <row r="401" spans="1:5" ht="15.75" x14ac:dyDescent="0.25">
      <c r="A401" s="71" t="s">
        <v>105</v>
      </c>
      <c r="B401" s="12" t="s">
        <v>120</v>
      </c>
      <c r="C401" s="44">
        <v>159476.1</v>
      </c>
      <c r="D401" s="44">
        <v>0</v>
      </c>
      <c r="E401" s="44">
        <v>0</v>
      </c>
    </row>
    <row r="402" spans="1:5" ht="16.5" thickBot="1" x14ac:dyDescent="0.3">
      <c r="A402" s="71" t="s">
        <v>226</v>
      </c>
      <c r="B402" s="7" t="s">
        <v>108</v>
      </c>
      <c r="C402" s="44">
        <v>0</v>
      </c>
      <c r="D402" s="44">
        <v>3621546</v>
      </c>
      <c r="E402" s="44">
        <v>5309000</v>
      </c>
    </row>
    <row r="403" spans="1:5" ht="17.25" thickTop="1" thickBot="1" x14ac:dyDescent="0.3">
      <c r="A403" s="67"/>
      <c r="B403" s="17" t="s">
        <v>6</v>
      </c>
      <c r="C403" s="45">
        <f>SUM(C395:C402)</f>
        <v>7538479.5899999999</v>
      </c>
      <c r="D403" s="45">
        <f>SUM(D395:D402)</f>
        <v>11917245</v>
      </c>
      <c r="E403" s="45">
        <v>13856200</v>
      </c>
    </row>
    <row r="404" spans="1:5" ht="16.5" thickTop="1" x14ac:dyDescent="0.25">
      <c r="A404" s="67"/>
      <c r="B404" s="15"/>
      <c r="C404" s="46"/>
      <c r="D404" s="46"/>
      <c r="E404" s="46"/>
    </row>
    <row r="405" spans="1:5" ht="15.75" x14ac:dyDescent="0.25">
      <c r="A405" s="67"/>
      <c r="B405" s="4" t="s">
        <v>7</v>
      </c>
      <c r="C405" s="46"/>
      <c r="D405" s="46"/>
      <c r="E405" s="46"/>
    </row>
    <row r="406" spans="1:5" ht="15.75" x14ac:dyDescent="0.25">
      <c r="A406" s="71" t="s">
        <v>45</v>
      </c>
      <c r="B406" s="16" t="s">
        <v>444</v>
      </c>
      <c r="C406" s="44">
        <v>1042882.84</v>
      </c>
      <c r="D406" s="44">
        <v>1266748</v>
      </c>
      <c r="E406" s="44">
        <v>1356996</v>
      </c>
    </row>
    <row r="407" spans="1:5" ht="15.75" x14ac:dyDescent="0.25">
      <c r="A407" s="71"/>
      <c r="B407" s="62" t="s">
        <v>449</v>
      </c>
      <c r="C407" s="63">
        <v>623026.57999999996</v>
      </c>
      <c r="D407" s="63">
        <v>690057</v>
      </c>
      <c r="E407" s="63">
        <v>720414</v>
      </c>
    </row>
    <row r="408" spans="1:5" ht="15.75" x14ac:dyDescent="0.25">
      <c r="A408" s="71"/>
      <c r="B408" s="62" t="s">
        <v>452</v>
      </c>
      <c r="C408" s="63">
        <f>152815.83</f>
        <v>152815.82999999999</v>
      </c>
      <c r="D408" s="63">
        <f>165754+1597+2500</f>
        <v>169851</v>
      </c>
      <c r="E408" s="63">
        <v>142589</v>
      </c>
    </row>
    <row r="409" spans="1:5" ht="15.75" x14ac:dyDescent="0.25">
      <c r="A409" s="71"/>
      <c r="B409" s="62" t="s">
        <v>450</v>
      </c>
      <c r="C409" s="63">
        <v>0</v>
      </c>
      <c r="D409" s="63">
        <v>0</v>
      </c>
      <c r="E409" s="63">
        <v>0</v>
      </c>
    </row>
    <row r="410" spans="1:5" ht="15.75" x14ac:dyDescent="0.25">
      <c r="A410" s="71"/>
      <c r="B410" s="62" t="s">
        <v>451</v>
      </c>
      <c r="C410" s="63">
        <f>C406-SUM(C407:C409)</f>
        <v>267040.43000000005</v>
      </c>
      <c r="D410" s="63">
        <f>D406-SUM(D407:D409)</f>
        <v>406840</v>
      </c>
      <c r="E410" s="63">
        <v>493993</v>
      </c>
    </row>
    <row r="411" spans="1:5" ht="15.75" x14ac:dyDescent="0.25">
      <c r="A411" s="71" t="s">
        <v>183</v>
      </c>
      <c r="B411" s="16" t="s">
        <v>301</v>
      </c>
      <c r="C411" s="44">
        <f>393505.89+304815.93</f>
        <v>698321.82000000007</v>
      </c>
      <c r="D411" s="44">
        <f>251300-192963+300+152928+140053-58000</f>
        <v>293618</v>
      </c>
      <c r="E411" s="44">
        <v>240000</v>
      </c>
    </row>
    <row r="412" spans="1:5" ht="15.75" x14ac:dyDescent="0.25">
      <c r="A412" s="71" t="s">
        <v>183</v>
      </c>
      <c r="B412" s="16" t="s">
        <v>390</v>
      </c>
      <c r="C412" s="44">
        <v>676766.1</v>
      </c>
      <c r="D412" s="44">
        <f>1044512-328962</f>
        <v>715550</v>
      </c>
      <c r="E412" s="44">
        <v>912680</v>
      </c>
    </row>
    <row r="413" spans="1:5" ht="15.75" x14ac:dyDescent="0.25">
      <c r="A413" s="67" t="s">
        <v>125</v>
      </c>
      <c r="B413" s="16" t="s">
        <v>76</v>
      </c>
      <c r="C413" s="44">
        <v>104226.5</v>
      </c>
      <c r="D413" s="44">
        <f>104257-219</f>
        <v>104038</v>
      </c>
      <c r="E413" s="44">
        <v>110000</v>
      </c>
    </row>
    <row r="414" spans="1:5" ht="15.75" x14ac:dyDescent="0.25">
      <c r="A414" s="71" t="s">
        <v>511</v>
      </c>
      <c r="B414" s="66" t="s">
        <v>494</v>
      </c>
      <c r="C414" s="44">
        <v>25000</v>
      </c>
      <c r="D414" s="44">
        <v>2288518</v>
      </c>
      <c r="E414" s="44">
        <v>0</v>
      </c>
    </row>
    <row r="415" spans="1:5" ht="15.75" x14ac:dyDescent="0.25">
      <c r="A415" s="67" t="s">
        <v>77</v>
      </c>
      <c r="B415" s="66" t="s">
        <v>525</v>
      </c>
      <c r="C415" s="44">
        <v>0</v>
      </c>
      <c r="D415" s="44">
        <v>0</v>
      </c>
      <c r="E415" s="44">
        <v>10000</v>
      </c>
    </row>
    <row r="416" spans="1:5" ht="15.75" x14ac:dyDescent="0.25">
      <c r="A416" s="67" t="s">
        <v>77</v>
      </c>
      <c r="B416" s="16" t="s">
        <v>276</v>
      </c>
      <c r="C416" s="44">
        <v>854718.56</v>
      </c>
      <c r="D416" s="44">
        <v>1178334</v>
      </c>
      <c r="E416" s="44">
        <v>1294199</v>
      </c>
    </row>
    <row r="417" spans="1:5" ht="15.75" x14ac:dyDescent="0.25">
      <c r="A417" s="67" t="s">
        <v>77</v>
      </c>
      <c r="B417" s="16" t="s">
        <v>391</v>
      </c>
      <c r="C417" s="44">
        <v>282170.84000000003</v>
      </c>
      <c r="D417" s="44">
        <v>284596</v>
      </c>
      <c r="E417" s="44">
        <v>284476</v>
      </c>
    </row>
    <row r="418" spans="1:5" ht="15.75" x14ac:dyDescent="0.25">
      <c r="A418" s="67" t="s">
        <v>77</v>
      </c>
      <c r="B418" s="16" t="s">
        <v>402</v>
      </c>
      <c r="C418" s="44">
        <v>156755.14000000001</v>
      </c>
      <c r="D418" s="44">
        <v>0</v>
      </c>
      <c r="E418" s="44">
        <v>126200</v>
      </c>
    </row>
    <row r="419" spans="1:5" ht="15.75" x14ac:dyDescent="0.25">
      <c r="A419" s="67" t="s">
        <v>77</v>
      </c>
      <c r="B419" s="16" t="s">
        <v>406</v>
      </c>
      <c r="C419" s="44">
        <v>295208.28000000003</v>
      </c>
      <c r="D419" s="44">
        <v>1600000</v>
      </c>
      <c r="E419" s="44">
        <v>600000</v>
      </c>
    </row>
    <row r="420" spans="1:5" ht="15.75" x14ac:dyDescent="0.25">
      <c r="A420" s="67" t="s">
        <v>170</v>
      </c>
      <c r="B420" s="16" t="s">
        <v>233</v>
      </c>
      <c r="C420" s="44">
        <f>C403-6916090.46</f>
        <v>622389.12999999989</v>
      </c>
      <c r="D420" s="44">
        <v>3334081</v>
      </c>
      <c r="E420" s="44">
        <v>8079249</v>
      </c>
    </row>
    <row r="421" spans="1:5" ht="15.75" x14ac:dyDescent="0.25">
      <c r="A421" s="71" t="s">
        <v>460</v>
      </c>
      <c r="B421" s="16" t="s">
        <v>426</v>
      </c>
      <c r="C421" s="44">
        <v>201535</v>
      </c>
      <c r="D421" s="44">
        <v>200000</v>
      </c>
      <c r="E421" s="44">
        <v>200000</v>
      </c>
    </row>
    <row r="422" spans="1:5" ht="15.75" x14ac:dyDescent="0.25">
      <c r="A422" s="71" t="s">
        <v>460</v>
      </c>
      <c r="B422" s="16" t="s">
        <v>184</v>
      </c>
      <c r="C422" s="44">
        <v>244902</v>
      </c>
      <c r="D422" s="44">
        <v>194902</v>
      </c>
      <c r="E422" s="44">
        <v>225000</v>
      </c>
    </row>
    <row r="423" spans="1:5" ht="15.75" x14ac:dyDescent="0.25">
      <c r="A423" s="67" t="s">
        <v>460</v>
      </c>
      <c r="B423" s="16" t="s">
        <v>443</v>
      </c>
      <c r="C423" s="44">
        <v>5000</v>
      </c>
      <c r="D423" s="44">
        <v>5000</v>
      </c>
      <c r="E423" s="44">
        <v>2400</v>
      </c>
    </row>
    <row r="424" spans="1:5" ht="16.5" thickBot="1" x14ac:dyDescent="0.3">
      <c r="A424" s="67" t="s">
        <v>460</v>
      </c>
      <c r="B424" s="16" t="s">
        <v>302</v>
      </c>
      <c r="C424" s="44">
        <f>2023300+305303.38</f>
        <v>2328603.38</v>
      </c>
      <c r="D424" s="44">
        <f>8000+20000+25000+350000+243762-194902</f>
        <v>451860</v>
      </c>
      <c r="E424" s="44">
        <v>415000</v>
      </c>
    </row>
    <row r="425" spans="1:5" ht="17.25" thickTop="1" thickBot="1" x14ac:dyDescent="0.3">
      <c r="A425" s="67"/>
      <c r="B425" s="17" t="s">
        <v>50</v>
      </c>
      <c r="C425" s="42">
        <f>C406+SUM(C411:C424)</f>
        <v>7538479.5899999999</v>
      </c>
      <c r="D425" s="42">
        <f>D406+SUM(D411:D424)</f>
        <v>11917245</v>
      </c>
      <c r="E425" s="42">
        <v>13856200</v>
      </c>
    </row>
    <row r="426" spans="1:5" ht="17.25" thickTop="1" thickBot="1" x14ac:dyDescent="0.3">
      <c r="A426" s="67"/>
      <c r="B426" s="15"/>
      <c r="C426" s="43"/>
      <c r="D426" s="43"/>
      <c r="E426" s="43"/>
    </row>
    <row r="427" spans="1:5" ht="21" thickTop="1" thickBot="1" x14ac:dyDescent="0.45">
      <c r="A427" s="67"/>
      <c r="B427" s="30" t="s">
        <v>171</v>
      </c>
      <c r="D427" s="43"/>
      <c r="E427" s="43"/>
    </row>
    <row r="428" spans="1:5" ht="16.5" thickTop="1" x14ac:dyDescent="0.25">
      <c r="A428" s="67"/>
      <c r="B428" s="4" t="s">
        <v>2</v>
      </c>
      <c r="C428" s="43"/>
      <c r="D428" s="43"/>
      <c r="E428" s="43"/>
    </row>
    <row r="429" spans="1:5" ht="15.75" x14ac:dyDescent="0.25">
      <c r="A429" s="67" t="s">
        <v>126</v>
      </c>
      <c r="B429" s="7" t="s">
        <v>186</v>
      </c>
      <c r="C429" s="36">
        <v>7427375.8300000001</v>
      </c>
      <c r="D429" s="36">
        <v>8326000</v>
      </c>
      <c r="E429" s="36">
        <v>8217550</v>
      </c>
    </row>
    <row r="430" spans="1:5" ht="15.75" x14ac:dyDescent="0.25">
      <c r="A430" s="67" t="s">
        <v>114</v>
      </c>
      <c r="B430" s="7" t="s">
        <v>122</v>
      </c>
      <c r="C430" s="44">
        <v>130442</v>
      </c>
      <c r="D430" s="44">
        <v>130956</v>
      </c>
      <c r="E430" s="44">
        <v>115000</v>
      </c>
    </row>
    <row r="431" spans="1:5" ht="15.75" x14ac:dyDescent="0.25">
      <c r="A431" s="71" t="s">
        <v>337</v>
      </c>
      <c r="B431" s="16" t="s">
        <v>3</v>
      </c>
      <c r="C431" s="36">
        <v>1700599.25</v>
      </c>
      <c r="D431" s="36">
        <v>1964666</v>
      </c>
      <c r="E431" s="36">
        <v>2050794</v>
      </c>
    </row>
    <row r="432" spans="1:5" ht="15.75" x14ac:dyDescent="0.25">
      <c r="A432" s="71" t="s">
        <v>392</v>
      </c>
      <c r="B432" s="16" t="s">
        <v>393</v>
      </c>
      <c r="C432" s="36">
        <v>32473.19</v>
      </c>
      <c r="D432" s="36">
        <v>30485</v>
      </c>
      <c r="E432" s="36">
        <v>45000</v>
      </c>
    </row>
    <row r="433" spans="1:6" ht="15.75" x14ac:dyDescent="0.25">
      <c r="A433" s="71" t="s">
        <v>269</v>
      </c>
      <c r="B433" s="7" t="s">
        <v>18</v>
      </c>
      <c r="C433" s="36">
        <v>2849.15</v>
      </c>
      <c r="D433" s="36">
        <v>2975</v>
      </c>
      <c r="E433" s="36">
        <v>3000</v>
      </c>
    </row>
    <row r="434" spans="1:6" ht="15.75" x14ac:dyDescent="0.25">
      <c r="A434" s="71" t="s">
        <v>281</v>
      </c>
      <c r="B434" s="7" t="s">
        <v>282</v>
      </c>
      <c r="C434" s="36">
        <f>18819.96+20</f>
        <v>18839.96</v>
      </c>
      <c r="D434" s="36">
        <v>15882</v>
      </c>
      <c r="E434" s="36">
        <v>21000</v>
      </c>
    </row>
    <row r="435" spans="1:6" ht="15.75" x14ac:dyDescent="0.25">
      <c r="A435" s="71" t="s">
        <v>118</v>
      </c>
      <c r="B435" s="16" t="s">
        <v>119</v>
      </c>
      <c r="C435" s="44">
        <v>17183.71</v>
      </c>
      <c r="D435" s="44">
        <v>11000</v>
      </c>
      <c r="E435" s="44">
        <v>15000</v>
      </c>
    </row>
    <row r="436" spans="1:6" ht="15.75" x14ac:dyDescent="0.25">
      <c r="A436" s="71" t="s">
        <v>105</v>
      </c>
      <c r="B436" s="12" t="s">
        <v>120</v>
      </c>
      <c r="C436" s="44">
        <v>0</v>
      </c>
      <c r="D436" s="44">
        <v>0</v>
      </c>
      <c r="E436" s="44">
        <v>0</v>
      </c>
    </row>
    <row r="437" spans="1:6" ht="16.5" thickBot="1" x14ac:dyDescent="0.3">
      <c r="A437" s="71" t="s">
        <v>226</v>
      </c>
      <c r="B437" s="7" t="s">
        <v>108</v>
      </c>
      <c r="C437" s="44">
        <v>0</v>
      </c>
      <c r="D437" s="44">
        <v>204077</v>
      </c>
      <c r="E437" s="44">
        <v>3855000</v>
      </c>
    </row>
    <row r="438" spans="1:6" ht="17.25" thickTop="1" thickBot="1" x14ac:dyDescent="0.3">
      <c r="A438" s="67"/>
      <c r="B438" s="17" t="s">
        <v>6</v>
      </c>
      <c r="C438" s="45">
        <f>SUM(C429:C437)</f>
        <v>9329763.0900000017</v>
      </c>
      <c r="D438" s="45">
        <f>SUM(D429:D437)</f>
        <v>10686041</v>
      </c>
      <c r="E438" s="45">
        <v>14322344</v>
      </c>
    </row>
    <row r="439" spans="1:6" ht="16.5" thickTop="1" x14ac:dyDescent="0.25">
      <c r="A439" s="67"/>
      <c r="B439" s="15"/>
      <c r="C439" s="58"/>
      <c r="D439" s="47"/>
      <c r="E439" s="47"/>
    </row>
    <row r="440" spans="1:6" ht="15.75" x14ac:dyDescent="0.25">
      <c r="A440" s="67"/>
      <c r="B440" s="4" t="s">
        <v>7</v>
      </c>
      <c r="C440" s="47"/>
      <c r="D440" s="47"/>
      <c r="E440" s="47"/>
    </row>
    <row r="441" spans="1:6" ht="15.75" x14ac:dyDescent="0.25">
      <c r="A441" s="71" t="s">
        <v>29</v>
      </c>
      <c r="B441" s="8" t="s">
        <v>198</v>
      </c>
      <c r="C441" s="36">
        <v>405462.04</v>
      </c>
      <c r="D441" s="36">
        <v>449435</v>
      </c>
      <c r="E441" s="36">
        <v>418901</v>
      </c>
      <c r="F441" s="27"/>
    </row>
    <row r="442" spans="1:6" ht="15.75" x14ac:dyDescent="0.25">
      <c r="A442" s="71"/>
      <c r="B442" s="62" t="s">
        <v>449</v>
      </c>
      <c r="C442" s="63">
        <v>207585</v>
      </c>
      <c r="D442" s="63">
        <v>237540</v>
      </c>
      <c r="E442" s="63">
        <v>246190</v>
      </c>
      <c r="F442" s="27"/>
    </row>
    <row r="443" spans="1:6" ht="15.75" x14ac:dyDescent="0.25">
      <c r="A443" s="71"/>
      <c r="B443" s="62" t="s">
        <v>452</v>
      </c>
      <c r="C443" s="63">
        <f>17627.04+61488</f>
        <v>79115.040000000008</v>
      </c>
      <c r="D443" s="63">
        <f>18232+59983</f>
        <v>78215</v>
      </c>
      <c r="E443" s="63">
        <v>28866</v>
      </c>
      <c r="F443" s="27"/>
    </row>
    <row r="444" spans="1:6" ht="15.75" x14ac:dyDescent="0.25">
      <c r="A444" s="71"/>
      <c r="B444" s="62" t="s">
        <v>450</v>
      </c>
      <c r="C444" s="63">
        <v>0</v>
      </c>
      <c r="D444" s="63">
        <v>0</v>
      </c>
      <c r="E444" s="63">
        <v>0</v>
      </c>
      <c r="F444" s="27"/>
    </row>
    <row r="445" spans="1:6" ht="15.75" x14ac:dyDescent="0.25">
      <c r="A445" s="71"/>
      <c r="B445" s="62" t="s">
        <v>451</v>
      </c>
      <c r="C445" s="63">
        <f>C441-SUM(C442:C444)</f>
        <v>118761.99999999994</v>
      </c>
      <c r="D445" s="63">
        <f>D441-SUM(D442:D444)</f>
        <v>133680</v>
      </c>
      <c r="E445" s="63">
        <v>143845</v>
      </c>
      <c r="F445" s="27"/>
    </row>
    <row r="446" spans="1:6" ht="15.75" x14ac:dyDescent="0.25">
      <c r="A446" s="71" t="s">
        <v>30</v>
      </c>
      <c r="B446" s="12" t="s">
        <v>31</v>
      </c>
      <c r="C446" s="55">
        <v>877419.13</v>
      </c>
      <c r="D446" s="55">
        <v>915801</v>
      </c>
      <c r="E446" s="36">
        <v>786938</v>
      </c>
      <c r="F446" s="27"/>
    </row>
    <row r="447" spans="1:6" ht="15.75" x14ac:dyDescent="0.25">
      <c r="A447" s="71"/>
      <c r="B447" s="62" t="s">
        <v>449</v>
      </c>
      <c r="C447" s="63">
        <v>517561.82</v>
      </c>
      <c r="D447" s="63">
        <v>565046</v>
      </c>
      <c r="E447" s="63">
        <v>595997</v>
      </c>
      <c r="F447" s="27"/>
    </row>
    <row r="448" spans="1:6" ht="15.75" x14ac:dyDescent="0.25">
      <c r="A448" s="71"/>
      <c r="B448" s="62" t="s">
        <v>452</v>
      </c>
      <c r="C448" s="63">
        <f>81830.36+190499</f>
        <v>272329.36</v>
      </c>
      <c r="D448" s="63">
        <f>81187+169962-1400</f>
        <v>249749</v>
      </c>
      <c r="E448" s="63">
        <v>78278</v>
      </c>
      <c r="F448" s="27"/>
    </row>
    <row r="449" spans="1:6" ht="15.75" x14ac:dyDescent="0.25">
      <c r="A449" s="71"/>
      <c r="B449" s="62" t="s">
        <v>450</v>
      </c>
      <c r="C449" s="63">
        <v>0</v>
      </c>
      <c r="D449" s="63">
        <v>0</v>
      </c>
      <c r="E449" s="63">
        <v>0</v>
      </c>
      <c r="F449" s="27"/>
    </row>
    <row r="450" spans="1:6" ht="15.75" x14ac:dyDescent="0.25">
      <c r="A450" s="71"/>
      <c r="B450" s="62" t="s">
        <v>451</v>
      </c>
      <c r="C450" s="63">
        <f>C446-SUM(C447:C449)</f>
        <v>87527.95000000007</v>
      </c>
      <c r="D450" s="63">
        <f>D446-SUM(D447:D449)</f>
        <v>101006</v>
      </c>
      <c r="E450" s="63">
        <v>112663</v>
      </c>
      <c r="F450" s="27"/>
    </row>
    <row r="451" spans="1:6" ht="15.75" x14ac:dyDescent="0.25">
      <c r="A451" s="71" t="s">
        <v>32</v>
      </c>
      <c r="B451" s="12" t="s">
        <v>33</v>
      </c>
      <c r="C451" s="55">
        <v>1864305.6</v>
      </c>
      <c r="D451" s="55">
        <v>1997917</v>
      </c>
      <c r="E451" s="36">
        <v>2050794</v>
      </c>
      <c r="F451" s="27"/>
    </row>
    <row r="452" spans="1:6" ht="15.75" x14ac:dyDescent="0.25">
      <c r="A452" s="71"/>
      <c r="B452" s="62" t="s">
        <v>449</v>
      </c>
      <c r="C452" s="63">
        <v>1653781.59</v>
      </c>
      <c r="D452" s="63">
        <v>1701807</v>
      </c>
      <c r="E452" s="63">
        <v>1814256</v>
      </c>
      <c r="F452" s="27"/>
    </row>
    <row r="453" spans="1:6" ht="15.75" x14ac:dyDescent="0.25">
      <c r="A453" s="71"/>
      <c r="B453" s="62" t="s">
        <v>452</v>
      </c>
      <c r="C453" s="63">
        <f>169091.99+7279</f>
        <v>176370.99</v>
      </c>
      <c r="D453" s="63">
        <f>200122+5035</f>
        <v>205157</v>
      </c>
      <c r="E453" s="63">
        <v>190258</v>
      </c>
      <c r="F453" s="27"/>
    </row>
    <row r="454" spans="1:6" ht="15.75" x14ac:dyDescent="0.25">
      <c r="A454" s="71"/>
      <c r="B454" s="62" t="s">
        <v>450</v>
      </c>
      <c r="C454" s="63">
        <v>0</v>
      </c>
      <c r="D454" s="63">
        <v>0</v>
      </c>
      <c r="E454" s="63">
        <v>0</v>
      </c>
      <c r="F454" s="27"/>
    </row>
    <row r="455" spans="1:6" ht="15.75" x14ac:dyDescent="0.25">
      <c r="A455" s="71"/>
      <c r="B455" s="62" t="s">
        <v>451</v>
      </c>
      <c r="C455" s="63">
        <f>C451-SUM(C452:C454)</f>
        <v>34153.020000000019</v>
      </c>
      <c r="D455" s="63">
        <f>D451-SUM(D452:D454)</f>
        <v>90953</v>
      </c>
      <c r="E455" s="63">
        <v>46280</v>
      </c>
      <c r="F455" s="27"/>
    </row>
    <row r="456" spans="1:6" ht="15.75" x14ac:dyDescent="0.25">
      <c r="A456" s="71" t="s">
        <v>35</v>
      </c>
      <c r="B456" s="12" t="s">
        <v>36</v>
      </c>
      <c r="C456" s="55">
        <v>3855608.39</v>
      </c>
      <c r="D456" s="55">
        <v>4507971</v>
      </c>
      <c r="E456" s="36">
        <v>4343134</v>
      </c>
      <c r="F456" s="27"/>
    </row>
    <row r="457" spans="1:6" ht="15.75" x14ac:dyDescent="0.25">
      <c r="A457" s="71"/>
      <c r="B457" s="62" t="s">
        <v>449</v>
      </c>
      <c r="C457" s="63">
        <v>3259095.11</v>
      </c>
      <c r="D457" s="63">
        <f>3636960-77000</f>
        <v>3559960</v>
      </c>
      <c r="E457" s="63">
        <v>3791956</v>
      </c>
      <c r="F457" s="27"/>
    </row>
    <row r="458" spans="1:6" ht="15.75" x14ac:dyDescent="0.25">
      <c r="A458" s="71"/>
      <c r="B458" s="62" t="s">
        <v>452</v>
      </c>
      <c r="C458" s="63">
        <f>225497.96+90951</f>
        <v>316448.95999999996</v>
      </c>
      <c r="D458" s="63">
        <f>220436+184905</f>
        <v>405341</v>
      </c>
      <c r="E458" s="63">
        <v>228203</v>
      </c>
      <c r="F458" s="27"/>
    </row>
    <row r="459" spans="1:6" ht="15.75" x14ac:dyDescent="0.25">
      <c r="A459" s="71"/>
      <c r="B459" s="62" t="s">
        <v>450</v>
      </c>
      <c r="C459" s="63">
        <v>0</v>
      </c>
      <c r="D459" s="63">
        <v>0</v>
      </c>
      <c r="E459" s="63">
        <v>0</v>
      </c>
      <c r="F459" s="27"/>
    </row>
    <row r="460" spans="1:6" ht="15.75" x14ac:dyDescent="0.25">
      <c r="A460" s="71"/>
      <c r="B460" s="62" t="s">
        <v>451</v>
      </c>
      <c r="C460" s="63">
        <f>C456-SUM(C457:C459)</f>
        <v>280064.3200000003</v>
      </c>
      <c r="D460" s="63">
        <f>D456-SUM(D457:D459)</f>
        <v>542670</v>
      </c>
      <c r="E460" s="63">
        <v>322975</v>
      </c>
      <c r="F460" s="27"/>
    </row>
    <row r="461" spans="1:6" ht="15.75" x14ac:dyDescent="0.25">
      <c r="A461" s="71" t="s">
        <v>387</v>
      </c>
      <c r="B461" s="12" t="s">
        <v>388</v>
      </c>
      <c r="C461" s="55">
        <v>1947559.66</v>
      </c>
      <c r="D461" s="55">
        <f>2814917-D462</f>
        <v>2291010</v>
      </c>
      <c r="E461" s="68">
        <v>3253306</v>
      </c>
    </row>
    <row r="462" spans="1:6" ht="16.5" thickBot="1" x14ac:dyDescent="0.3">
      <c r="A462" s="67" t="s">
        <v>172</v>
      </c>
      <c r="B462" s="16" t="s">
        <v>233</v>
      </c>
      <c r="C462" s="44">
        <f>C438-C441-C446-C451-C456-C461</f>
        <v>379408.27000000211</v>
      </c>
      <c r="D462" s="44">
        <v>523907</v>
      </c>
      <c r="E462" s="44">
        <v>3469271</v>
      </c>
    </row>
    <row r="463" spans="1:6" ht="17.25" thickTop="1" thickBot="1" x14ac:dyDescent="0.3">
      <c r="A463" s="67"/>
      <c r="B463" s="17" t="s">
        <v>50</v>
      </c>
      <c r="C463" s="45">
        <f>C441+C446+C451+C456+C461+C462</f>
        <v>9329763.0900000017</v>
      </c>
      <c r="D463" s="45">
        <f>D441+D446+D451+D456+D461+D462</f>
        <v>10686041</v>
      </c>
      <c r="E463" s="45">
        <v>14322344</v>
      </c>
    </row>
    <row r="464" spans="1:6" ht="17.25" thickTop="1" thickBot="1" x14ac:dyDescent="0.3">
      <c r="A464" s="67"/>
      <c r="B464" s="15"/>
      <c r="C464" s="43"/>
      <c r="D464" s="43"/>
      <c r="E464" s="43"/>
    </row>
    <row r="465" spans="1:5" ht="21" thickTop="1" thickBot="1" x14ac:dyDescent="0.45">
      <c r="A465" s="67"/>
      <c r="B465" s="30" t="s">
        <v>174</v>
      </c>
      <c r="C465" s="43"/>
      <c r="D465" s="43"/>
      <c r="E465" s="43"/>
    </row>
    <row r="466" spans="1:5" ht="16.5" thickTop="1" x14ac:dyDescent="0.25">
      <c r="A466" s="67"/>
      <c r="B466" s="4" t="s">
        <v>2</v>
      </c>
      <c r="C466" s="43"/>
      <c r="D466" s="43"/>
      <c r="E466" s="43"/>
    </row>
    <row r="467" spans="1:5" ht="15.75" x14ac:dyDescent="0.25">
      <c r="A467" s="67" t="s">
        <v>126</v>
      </c>
      <c r="B467" s="7" t="s">
        <v>127</v>
      </c>
      <c r="C467" s="44">
        <v>18403.57</v>
      </c>
      <c r="D467" s="44">
        <v>50000</v>
      </c>
      <c r="E467" s="44">
        <v>50000</v>
      </c>
    </row>
    <row r="468" spans="1:5" ht="15.75" x14ac:dyDescent="0.25">
      <c r="A468" s="67" t="s">
        <v>114</v>
      </c>
      <c r="B468" s="7" t="s">
        <v>122</v>
      </c>
      <c r="C468" s="44">
        <v>0</v>
      </c>
      <c r="D468" s="44">
        <v>0</v>
      </c>
      <c r="E468" s="44">
        <v>0</v>
      </c>
    </row>
    <row r="469" spans="1:5" ht="15.75" x14ac:dyDescent="0.25">
      <c r="A469" s="67" t="s">
        <v>118</v>
      </c>
      <c r="B469" s="7" t="s">
        <v>119</v>
      </c>
      <c r="C469" s="44">
        <v>0</v>
      </c>
      <c r="D469" s="44">
        <v>0</v>
      </c>
      <c r="E469" s="44">
        <v>0</v>
      </c>
    </row>
    <row r="470" spans="1:5" ht="16.5" thickBot="1" x14ac:dyDescent="0.3">
      <c r="A470" s="71" t="s">
        <v>226</v>
      </c>
      <c r="B470" s="7" t="s">
        <v>108</v>
      </c>
      <c r="C470" s="44">
        <v>0</v>
      </c>
      <c r="D470" s="44">
        <v>0</v>
      </c>
      <c r="E470" s="44">
        <v>0</v>
      </c>
    </row>
    <row r="471" spans="1:5" ht="17.25" thickTop="1" thickBot="1" x14ac:dyDescent="0.3">
      <c r="A471" s="67"/>
      <c r="B471" s="17" t="s">
        <v>6</v>
      </c>
      <c r="C471" s="42">
        <f>SUM(C467:C470)</f>
        <v>18403.57</v>
      </c>
      <c r="D471" s="42">
        <f>SUM(D467:D470)</f>
        <v>50000</v>
      </c>
      <c r="E471" s="42">
        <v>50000</v>
      </c>
    </row>
    <row r="472" spans="1:5" ht="16.5" thickTop="1" x14ac:dyDescent="0.25">
      <c r="A472" s="67"/>
      <c r="B472" s="10"/>
      <c r="C472" s="43"/>
      <c r="D472" s="43"/>
      <c r="E472" s="43"/>
    </row>
    <row r="473" spans="1:5" ht="15.75" x14ac:dyDescent="0.25">
      <c r="A473" s="67"/>
      <c r="B473" s="4" t="s">
        <v>7</v>
      </c>
      <c r="C473" s="43"/>
      <c r="D473" s="43"/>
      <c r="E473" s="43"/>
    </row>
    <row r="474" spans="1:5" ht="15.75" x14ac:dyDescent="0.25">
      <c r="A474" s="71" t="s">
        <v>427</v>
      </c>
      <c r="B474" s="7" t="s">
        <v>434</v>
      </c>
      <c r="C474" s="41">
        <v>0</v>
      </c>
      <c r="D474" s="41">
        <v>0</v>
      </c>
      <c r="E474" s="41">
        <v>0</v>
      </c>
    </row>
    <row r="475" spans="1:5" ht="15.75" x14ac:dyDescent="0.25">
      <c r="A475" s="71" t="s">
        <v>428</v>
      </c>
      <c r="B475" s="7" t="s">
        <v>435</v>
      </c>
      <c r="C475" s="41">
        <v>0</v>
      </c>
      <c r="D475" s="41">
        <v>0</v>
      </c>
      <c r="E475" s="41">
        <v>0</v>
      </c>
    </row>
    <row r="476" spans="1:5" ht="15.75" x14ac:dyDescent="0.25">
      <c r="A476" s="71" t="s">
        <v>78</v>
      </c>
      <c r="B476" s="7" t="s">
        <v>429</v>
      </c>
      <c r="C476" s="41">
        <v>0</v>
      </c>
      <c r="D476" s="41">
        <v>0</v>
      </c>
      <c r="E476" s="41">
        <v>0</v>
      </c>
    </row>
    <row r="477" spans="1:5" ht="15.75" x14ac:dyDescent="0.25">
      <c r="A477" s="71" t="s">
        <v>462</v>
      </c>
      <c r="B477" s="69" t="s">
        <v>463</v>
      </c>
      <c r="C477" s="41">
        <v>4562.5200000000004</v>
      </c>
      <c r="D477" s="41">
        <v>50000</v>
      </c>
      <c r="E477" s="41">
        <v>50000</v>
      </c>
    </row>
    <row r="478" spans="1:5" ht="16.5" thickBot="1" x14ac:dyDescent="0.3">
      <c r="A478" s="67" t="s">
        <v>277</v>
      </c>
      <c r="B478" s="7" t="s">
        <v>233</v>
      </c>
      <c r="C478" s="41">
        <f>C471-C477</f>
        <v>13841.05</v>
      </c>
      <c r="D478" s="41">
        <v>0</v>
      </c>
      <c r="E478" s="41">
        <v>0</v>
      </c>
    </row>
    <row r="479" spans="1:5" ht="17.25" thickTop="1" thickBot="1" x14ac:dyDescent="0.3">
      <c r="A479" s="71"/>
      <c r="B479" s="17" t="s">
        <v>50</v>
      </c>
      <c r="C479" s="51">
        <f>SUM(C474:C478)</f>
        <v>18403.57</v>
      </c>
      <c r="D479" s="51">
        <f>SUM(D474:D478)</f>
        <v>50000</v>
      </c>
      <c r="E479" s="51">
        <v>50000</v>
      </c>
    </row>
    <row r="480" spans="1:5" ht="17.25" thickTop="1" thickBot="1" x14ac:dyDescent="0.3">
      <c r="A480" s="71"/>
      <c r="B480" s="15"/>
      <c r="C480" s="43"/>
      <c r="D480" s="43"/>
      <c r="E480" s="43"/>
    </row>
    <row r="481" spans="1:5" ht="21" thickTop="1" thickBot="1" x14ac:dyDescent="0.45">
      <c r="A481" s="67"/>
      <c r="B481" s="30" t="s">
        <v>175</v>
      </c>
      <c r="C481" s="43"/>
      <c r="D481" s="43"/>
      <c r="E481" s="43"/>
    </row>
    <row r="482" spans="1:5" ht="16.5" thickTop="1" x14ac:dyDescent="0.25">
      <c r="A482" s="67"/>
      <c r="B482" s="4" t="s">
        <v>2</v>
      </c>
      <c r="C482" s="43"/>
      <c r="D482" s="43"/>
      <c r="E482" s="43"/>
    </row>
    <row r="483" spans="1:5" ht="15.75" x14ac:dyDescent="0.25">
      <c r="A483" s="67" t="s">
        <v>114</v>
      </c>
      <c r="B483" s="7" t="s">
        <v>122</v>
      </c>
      <c r="C483" s="44">
        <v>3223444.19</v>
      </c>
      <c r="D483" s="44">
        <v>3224292</v>
      </c>
      <c r="E483" s="44">
        <v>2962403</v>
      </c>
    </row>
    <row r="484" spans="1:5" ht="15.75" x14ac:dyDescent="0.25">
      <c r="A484" s="67" t="s">
        <v>118</v>
      </c>
      <c r="B484" s="16" t="s">
        <v>119</v>
      </c>
      <c r="C484" s="44">
        <v>0</v>
      </c>
      <c r="D484" s="44">
        <v>0</v>
      </c>
      <c r="E484" s="44">
        <v>0</v>
      </c>
    </row>
    <row r="485" spans="1:5" ht="15.75" x14ac:dyDescent="0.25">
      <c r="A485" s="71" t="s">
        <v>105</v>
      </c>
      <c r="B485" s="16" t="s">
        <v>120</v>
      </c>
      <c r="C485" s="44">
        <v>2054013.06</v>
      </c>
      <c r="D485" s="44">
        <v>2125100</v>
      </c>
      <c r="E485" s="44">
        <v>881885</v>
      </c>
    </row>
    <row r="486" spans="1:5" ht="15.75" x14ac:dyDescent="0.25">
      <c r="A486" s="71" t="s">
        <v>105</v>
      </c>
      <c r="B486" s="16" t="s">
        <v>252</v>
      </c>
      <c r="C486" s="44">
        <f>6335742.15+1697849.32+2831990.71</f>
        <v>10865582.18</v>
      </c>
      <c r="D486" s="44">
        <v>10848720</v>
      </c>
      <c r="E486" s="44">
        <v>14936352</v>
      </c>
    </row>
    <row r="487" spans="1:5" ht="15.75" x14ac:dyDescent="0.25">
      <c r="A487" s="71" t="s">
        <v>105</v>
      </c>
      <c r="B487" s="16" t="s">
        <v>303</v>
      </c>
      <c r="C487" s="44">
        <v>1406669.71</v>
      </c>
      <c r="D487" s="44">
        <v>1119113</v>
      </c>
      <c r="E487" s="44">
        <v>1220969</v>
      </c>
    </row>
    <row r="488" spans="1:5" ht="15.75" x14ac:dyDescent="0.25">
      <c r="A488" s="71" t="s">
        <v>105</v>
      </c>
      <c r="B488" s="66" t="s">
        <v>520</v>
      </c>
      <c r="C488" s="44">
        <v>854718.56</v>
      </c>
      <c r="D488" s="44">
        <v>1178334</v>
      </c>
      <c r="E488" s="44">
        <v>1294199</v>
      </c>
    </row>
    <row r="489" spans="1:5" ht="15.75" x14ac:dyDescent="0.25">
      <c r="A489" s="71" t="s">
        <v>105</v>
      </c>
      <c r="B489" s="66" t="s">
        <v>521</v>
      </c>
      <c r="C489" s="44">
        <v>282170.84000000003</v>
      </c>
      <c r="D489" s="44">
        <v>284596</v>
      </c>
      <c r="E489" s="44">
        <v>284476</v>
      </c>
    </row>
    <row r="490" spans="1:5" ht="15.75" x14ac:dyDescent="0.25">
      <c r="A490" s="71" t="s">
        <v>105</v>
      </c>
      <c r="B490" s="66" t="s">
        <v>464</v>
      </c>
      <c r="C490" s="44">
        <v>4562.5200000000004</v>
      </c>
      <c r="D490" s="44">
        <v>50000</v>
      </c>
      <c r="E490" s="44">
        <v>50000</v>
      </c>
    </row>
    <row r="491" spans="1:5" ht="15.75" x14ac:dyDescent="0.25">
      <c r="A491" s="71" t="s">
        <v>105</v>
      </c>
      <c r="B491" s="16" t="s">
        <v>121</v>
      </c>
      <c r="C491" s="44">
        <f>2321250+268649.44</f>
        <v>2589899.44</v>
      </c>
      <c r="D491" s="44">
        <f>2601821-6107</f>
        <v>2595714</v>
      </c>
      <c r="E491" s="44">
        <v>2475440</v>
      </c>
    </row>
    <row r="492" spans="1:5" ht="16.5" thickBot="1" x14ac:dyDescent="0.3">
      <c r="A492" s="71" t="s">
        <v>226</v>
      </c>
      <c r="B492" s="7" t="s">
        <v>108</v>
      </c>
      <c r="C492" s="44">
        <v>0</v>
      </c>
      <c r="D492" s="44">
        <v>4154752</v>
      </c>
      <c r="E492" s="44">
        <v>2384403</v>
      </c>
    </row>
    <row r="493" spans="1:5" ht="17.25" thickTop="1" thickBot="1" x14ac:dyDescent="0.3">
      <c r="A493" s="67"/>
      <c r="B493" s="17" t="s">
        <v>6</v>
      </c>
      <c r="C493" s="42">
        <f>SUM(C483:C492)</f>
        <v>21281060.5</v>
      </c>
      <c r="D493" s="42">
        <f>SUM(D483:D492)</f>
        <v>25580621</v>
      </c>
      <c r="E493" s="42">
        <v>26490127</v>
      </c>
    </row>
    <row r="494" spans="1:5" ht="16.5" thickTop="1" x14ac:dyDescent="0.25">
      <c r="A494" s="67"/>
      <c r="B494" s="10"/>
      <c r="C494" s="47"/>
      <c r="D494" s="47"/>
      <c r="E494" s="47"/>
    </row>
    <row r="495" spans="1:5" ht="15.75" x14ac:dyDescent="0.25">
      <c r="A495" s="67"/>
      <c r="B495" s="4" t="s">
        <v>7</v>
      </c>
      <c r="C495" s="47"/>
      <c r="D495" s="47"/>
      <c r="E495" s="47"/>
    </row>
    <row r="496" spans="1:5" ht="15.75" x14ac:dyDescent="0.25">
      <c r="A496" s="71" t="s">
        <v>445</v>
      </c>
      <c r="B496" s="7" t="s">
        <v>446</v>
      </c>
      <c r="C496" s="41">
        <v>12998.31</v>
      </c>
      <c r="D496" s="41">
        <v>14500</v>
      </c>
      <c r="E496" s="41">
        <v>1250</v>
      </c>
    </row>
    <row r="497" spans="1:5" ht="15.75" x14ac:dyDescent="0.25">
      <c r="A497" s="71" t="s">
        <v>430</v>
      </c>
      <c r="B497" s="7" t="s">
        <v>432</v>
      </c>
      <c r="C497" s="41">
        <v>8590000</v>
      </c>
      <c r="D497" s="41">
        <f>13390000-92965</f>
        <v>13297035</v>
      </c>
      <c r="E497" s="41">
        <v>10550000</v>
      </c>
    </row>
    <row r="498" spans="1:5" ht="15.75" x14ac:dyDescent="0.25">
      <c r="A498" s="71" t="s">
        <v>431</v>
      </c>
      <c r="B498" s="7" t="s">
        <v>433</v>
      </c>
      <c r="C498" s="41">
        <v>12646462.189999999</v>
      </c>
      <c r="D498" s="41">
        <v>12240886</v>
      </c>
      <c r="E498" s="41">
        <v>11696877</v>
      </c>
    </row>
    <row r="499" spans="1:5" ht="15.75" x14ac:dyDescent="0.25">
      <c r="A499" s="71" t="s">
        <v>528</v>
      </c>
      <c r="B499" s="7" t="s">
        <v>429</v>
      </c>
      <c r="C499" s="41">
        <v>31600</v>
      </c>
      <c r="D499" s="41">
        <v>28200</v>
      </c>
      <c r="E499" s="41">
        <v>92000</v>
      </c>
    </row>
    <row r="500" spans="1:5" ht="16.5" thickBot="1" x14ac:dyDescent="0.3">
      <c r="A500" s="67" t="s">
        <v>278</v>
      </c>
      <c r="B500" s="7" t="s">
        <v>233</v>
      </c>
      <c r="C500" s="41">
        <v>0</v>
      </c>
      <c r="D500" s="41">
        <v>0</v>
      </c>
      <c r="E500" s="41">
        <v>4150000</v>
      </c>
    </row>
    <row r="501" spans="1:5" ht="17.25" thickTop="1" thickBot="1" x14ac:dyDescent="0.3">
      <c r="A501" s="71"/>
      <c r="B501" s="17" t="s">
        <v>50</v>
      </c>
      <c r="C501" s="52">
        <f>SUM(C496:C500)</f>
        <v>21281060.5</v>
      </c>
      <c r="D501" s="52">
        <f>SUM(D496:D500)</f>
        <v>25580621</v>
      </c>
      <c r="E501" s="52">
        <v>26490127</v>
      </c>
    </row>
    <row r="502" spans="1:5" ht="17.25" thickTop="1" thickBot="1" x14ac:dyDescent="0.3">
      <c r="A502" s="67"/>
      <c r="B502" s="15"/>
      <c r="C502" s="43"/>
      <c r="D502" s="43"/>
      <c r="E502" s="43"/>
    </row>
    <row r="503" spans="1:5" ht="21" thickTop="1" thickBot="1" x14ac:dyDescent="0.45">
      <c r="A503" s="67"/>
      <c r="B503" s="30" t="s">
        <v>79</v>
      </c>
      <c r="D503" s="43"/>
      <c r="E503" s="43"/>
    </row>
    <row r="504" spans="1:5" ht="16.5" thickTop="1" x14ac:dyDescent="0.25">
      <c r="A504" s="67"/>
      <c r="B504" s="4" t="s">
        <v>2</v>
      </c>
      <c r="C504" s="43"/>
      <c r="D504" s="43"/>
      <c r="E504" s="43"/>
    </row>
    <row r="505" spans="1:5" ht="15.75" x14ac:dyDescent="0.25">
      <c r="A505" s="67" t="s">
        <v>114</v>
      </c>
      <c r="B505" s="16" t="s">
        <v>122</v>
      </c>
      <c r="C505" s="44">
        <v>0</v>
      </c>
      <c r="D505" s="44">
        <v>0</v>
      </c>
      <c r="E505" s="44">
        <v>0</v>
      </c>
    </row>
    <row r="506" spans="1:5" ht="15.75" x14ac:dyDescent="0.25">
      <c r="A506" s="67" t="s">
        <v>118</v>
      </c>
      <c r="B506" s="16" t="s">
        <v>119</v>
      </c>
      <c r="C506" s="44">
        <v>74812.23</v>
      </c>
      <c r="D506" s="44">
        <v>188000</v>
      </c>
      <c r="E506" s="44">
        <v>50000</v>
      </c>
    </row>
    <row r="507" spans="1:5" ht="15.75" x14ac:dyDescent="0.25">
      <c r="A507" s="71" t="s">
        <v>509</v>
      </c>
      <c r="B507" s="69" t="s">
        <v>510</v>
      </c>
      <c r="C507" s="44">
        <v>6755000</v>
      </c>
      <c r="D507" s="44">
        <v>0</v>
      </c>
      <c r="E507" s="44">
        <v>0</v>
      </c>
    </row>
    <row r="508" spans="1:5" ht="15.75" x14ac:dyDescent="0.25">
      <c r="A508" s="71" t="s">
        <v>105</v>
      </c>
      <c r="B508" s="16" t="s">
        <v>120</v>
      </c>
      <c r="C508" s="44">
        <v>190000</v>
      </c>
      <c r="D508" s="44">
        <v>0</v>
      </c>
      <c r="E508" s="44">
        <v>0</v>
      </c>
    </row>
    <row r="509" spans="1:5" ht="15.75" x14ac:dyDescent="0.25">
      <c r="A509" s="71" t="s">
        <v>105</v>
      </c>
      <c r="B509" s="66" t="s">
        <v>526</v>
      </c>
      <c r="C509" s="44">
        <v>97896.5</v>
      </c>
      <c r="D509" s="44">
        <v>0</v>
      </c>
      <c r="E509" s="44">
        <v>0</v>
      </c>
    </row>
    <row r="510" spans="1:5" ht="15.75" x14ac:dyDescent="0.25">
      <c r="A510" s="71" t="s">
        <v>105</v>
      </c>
      <c r="B510" s="16" t="s">
        <v>407</v>
      </c>
      <c r="C510" s="44">
        <v>156755.14000000001</v>
      </c>
      <c r="D510" s="44">
        <v>0</v>
      </c>
      <c r="E510" s="44">
        <v>126200</v>
      </c>
    </row>
    <row r="511" spans="1:5" ht="15.75" x14ac:dyDescent="0.25">
      <c r="A511" s="71" t="s">
        <v>105</v>
      </c>
      <c r="B511" s="16" t="s">
        <v>408</v>
      </c>
      <c r="C511" s="44">
        <v>295208.28000000003</v>
      </c>
      <c r="D511" s="44">
        <v>1600000</v>
      </c>
      <c r="E511" s="44">
        <v>600000</v>
      </c>
    </row>
    <row r="512" spans="1:5" ht="15.75" x14ac:dyDescent="0.25">
      <c r="A512" s="71" t="s">
        <v>105</v>
      </c>
      <c r="B512" s="69" t="s">
        <v>517</v>
      </c>
      <c r="C512" s="44">
        <v>135355.96</v>
      </c>
      <c r="D512" s="44">
        <v>0</v>
      </c>
      <c r="E512" s="44">
        <v>0</v>
      </c>
    </row>
    <row r="513" spans="1:5" ht="15.75" x14ac:dyDescent="0.25">
      <c r="A513" s="71" t="s">
        <v>105</v>
      </c>
      <c r="B513" s="12" t="s">
        <v>409</v>
      </c>
      <c r="C513" s="44">
        <v>201883.27</v>
      </c>
      <c r="D513" s="44">
        <v>0</v>
      </c>
      <c r="E513" s="44">
        <v>0</v>
      </c>
    </row>
    <row r="514" spans="1:5" ht="15.75" x14ac:dyDescent="0.25">
      <c r="A514" s="71" t="s">
        <v>105</v>
      </c>
      <c r="B514" s="12" t="s">
        <v>436</v>
      </c>
      <c r="C514" s="44">
        <v>93787.22</v>
      </c>
      <c r="D514" s="44">
        <v>0</v>
      </c>
      <c r="E514" s="44">
        <v>0</v>
      </c>
    </row>
    <row r="515" spans="1:5" ht="15.75" x14ac:dyDescent="0.25">
      <c r="A515" s="71" t="s">
        <v>253</v>
      </c>
      <c r="B515" s="12" t="s">
        <v>189</v>
      </c>
      <c r="C515" s="44">
        <v>0</v>
      </c>
      <c r="D515" s="44">
        <v>0</v>
      </c>
      <c r="E515" s="44">
        <v>0</v>
      </c>
    </row>
    <row r="516" spans="1:5" ht="16.5" thickBot="1" x14ac:dyDescent="0.3">
      <c r="A516" s="71" t="s">
        <v>226</v>
      </c>
      <c r="B516" s="7" t="s">
        <v>108</v>
      </c>
      <c r="C516" s="44">
        <f>C534-SUM(C505:C515)</f>
        <v>924218.15000000037</v>
      </c>
      <c r="D516" s="44">
        <v>8004328</v>
      </c>
      <c r="E516" s="44">
        <v>6690096</v>
      </c>
    </row>
    <row r="517" spans="1:5" ht="17.25" thickTop="1" thickBot="1" x14ac:dyDescent="0.3">
      <c r="A517" s="67"/>
      <c r="B517" s="17" t="s">
        <v>6</v>
      </c>
      <c r="C517" s="42">
        <f>SUM(C505:C516)</f>
        <v>8924916.75</v>
      </c>
      <c r="D517" s="42">
        <f>SUM(D505:D516)</f>
        <v>9792328</v>
      </c>
      <c r="E517" s="42">
        <v>7466296</v>
      </c>
    </row>
    <row r="518" spans="1:5" ht="16.5" thickTop="1" x14ac:dyDescent="0.25">
      <c r="A518" s="67"/>
      <c r="B518" s="10"/>
      <c r="C518" s="43"/>
      <c r="D518" s="43"/>
      <c r="E518" s="43"/>
    </row>
    <row r="519" spans="1:5" ht="15.75" x14ac:dyDescent="0.25">
      <c r="A519" s="67"/>
      <c r="B519" s="4" t="s">
        <v>7</v>
      </c>
      <c r="C519" s="43"/>
      <c r="D519" s="43"/>
      <c r="E519" s="43"/>
    </row>
    <row r="520" spans="1:5" ht="15.75" x14ac:dyDescent="0.25">
      <c r="A520" s="67" t="s">
        <v>130</v>
      </c>
      <c r="B520" s="7" t="s">
        <v>131</v>
      </c>
      <c r="C520" s="44">
        <f>244273.12+77</f>
        <v>244350.12</v>
      </c>
      <c r="D520" s="44">
        <v>0</v>
      </c>
      <c r="E520" s="44">
        <v>0</v>
      </c>
    </row>
    <row r="521" spans="1:5" ht="15.75" x14ac:dyDescent="0.25">
      <c r="A521" s="67" t="s">
        <v>132</v>
      </c>
      <c r="B521" s="7" t="s">
        <v>133</v>
      </c>
      <c r="C521" s="44">
        <v>0</v>
      </c>
      <c r="D521" s="44">
        <v>0</v>
      </c>
      <c r="E521" s="44">
        <v>0</v>
      </c>
    </row>
    <row r="522" spans="1:5" ht="15.75" x14ac:dyDescent="0.25">
      <c r="A522" s="67" t="s">
        <v>134</v>
      </c>
      <c r="B522" s="7" t="s">
        <v>135</v>
      </c>
      <c r="C522" s="44">
        <v>0</v>
      </c>
      <c r="D522" s="44">
        <v>0</v>
      </c>
      <c r="E522" s="44">
        <v>0</v>
      </c>
    </row>
    <row r="523" spans="1:5" ht="15.75" x14ac:dyDescent="0.25">
      <c r="A523" s="67" t="s">
        <v>134</v>
      </c>
      <c r="B523" s="7" t="s">
        <v>440</v>
      </c>
      <c r="C523" s="44">
        <v>118372.5</v>
      </c>
      <c r="D523" s="44">
        <v>3200000</v>
      </c>
      <c r="E523" s="44">
        <v>6200000</v>
      </c>
    </row>
    <row r="524" spans="1:5" ht="15.75" x14ac:dyDescent="0.25">
      <c r="A524" s="67" t="s">
        <v>136</v>
      </c>
      <c r="B524" s="7" t="s">
        <v>137</v>
      </c>
      <c r="C524" s="44">
        <v>310548.81</v>
      </c>
      <c r="D524" s="44">
        <v>1600000</v>
      </c>
      <c r="E524" s="44">
        <v>600000</v>
      </c>
    </row>
    <row r="525" spans="1:5" ht="15.75" x14ac:dyDescent="0.25">
      <c r="A525" s="67" t="s">
        <v>138</v>
      </c>
      <c r="B525" s="16" t="s">
        <v>438</v>
      </c>
      <c r="C525" s="44">
        <v>0</v>
      </c>
      <c r="D525" s="44">
        <v>0</v>
      </c>
      <c r="E525" s="44">
        <v>0</v>
      </c>
    </row>
    <row r="526" spans="1:5" ht="15.75" x14ac:dyDescent="0.25">
      <c r="A526" s="67" t="s">
        <v>138</v>
      </c>
      <c r="B526" s="16" t="s">
        <v>439</v>
      </c>
      <c r="C526" s="44">
        <v>0</v>
      </c>
      <c r="D526" s="44">
        <v>0</v>
      </c>
      <c r="E526" s="44">
        <v>0</v>
      </c>
    </row>
    <row r="527" spans="1:5" ht="15.75" x14ac:dyDescent="0.25">
      <c r="A527" s="67" t="s">
        <v>139</v>
      </c>
      <c r="B527" s="16" t="s">
        <v>437</v>
      </c>
      <c r="C527" s="44">
        <v>0</v>
      </c>
      <c r="D527" s="44">
        <v>0</v>
      </c>
      <c r="E527" s="44">
        <v>0</v>
      </c>
    </row>
    <row r="528" spans="1:5" ht="15.75" x14ac:dyDescent="0.25">
      <c r="A528" s="67" t="s">
        <v>139</v>
      </c>
      <c r="B528" s="66" t="s">
        <v>493</v>
      </c>
      <c r="C528" s="44">
        <v>6730.03</v>
      </c>
      <c r="D528" s="44">
        <v>0</v>
      </c>
      <c r="E528" s="44">
        <v>0</v>
      </c>
    </row>
    <row r="529" spans="1:5" ht="15.75" x14ac:dyDescent="0.25">
      <c r="A529" s="67" t="s">
        <v>305</v>
      </c>
      <c r="B529" s="16" t="s">
        <v>304</v>
      </c>
      <c r="C529" s="44">
        <f>19705.6+160049.54</f>
        <v>179755.14</v>
      </c>
      <c r="D529" s="44">
        <v>0</v>
      </c>
      <c r="E529" s="44">
        <v>126200</v>
      </c>
    </row>
    <row r="530" spans="1:5" ht="15.75" x14ac:dyDescent="0.25">
      <c r="A530" s="67" t="s">
        <v>306</v>
      </c>
      <c r="B530" s="16" t="s">
        <v>307</v>
      </c>
      <c r="C530" s="44">
        <v>128116.29</v>
      </c>
      <c r="D530" s="44">
        <v>94096</v>
      </c>
      <c r="E530" s="44">
        <v>94096</v>
      </c>
    </row>
    <row r="531" spans="1:5" ht="15.75" x14ac:dyDescent="0.25">
      <c r="A531" s="67" t="s">
        <v>377</v>
      </c>
      <c r="B531" s="66" t="s">
        <v>494</v>
      </c>
      <c r="C531" s="44">
        <v>1186293.8</v>
      </c>
      <c r="D531" s="44">
        <v>0</v>
      </c>
      <c r="E531" s="44">
        <v>0</v>
      </c>
    </row>
    <row r="532" spans="1:5" ht="15.75" x14ac:dyDescent="0.25">
      <c r="A532" s="71" t="s">
        <v>518</v>
      </c>
      <c r="B532" s="66" t="s">
        <v>519</v>
      </c>
      <c r="C532" s="44">
        <v>6750750.0599999996</v>
      </c>
      <c r="D532" s="44">
        <v>0</v>
      </c>
      <c r="E532" s="44">
        <v>0</v>
      </c>
    </row>
    <row r="533" spans="1:5" ht="16.5" thickBot="1" x14ac:dyDescent="0.3">
      <c r="A533" s="67" t="s">
        <v>399</v>
      </c>
      <c r="B533" s="16" t="s">
        <v>233</v>
      </c>
      <c r="C533" s="44">
        <v>0</v>
      </c>
      <c r="D533" s="44">
        <v>4898232</v>
      </c>
      <c r="E533" s="44">
        <v>446000</v>
      </c>
    </row>
    <row r="534" spans="1:5" ht="17.25" thickTop="1" thickBot="1" x14ac:dyDescent="0.3">
      <c r="A534" s="67"/>
      <c r="B534" s="17" t="s">
        <v>50</v>
      </c>
      <c r="C534" s="42">
        <f>SUM(C520:C533)</f>
        <v>8924916.75</v>
      </c>
      <c r="D534" s="42">
        <f>SUM(D520:D533)</f>
        <v>9792328</v>
      </c>
      <c r="E534" s="42">
        <v>7466296</v>
      </c>
    </row>
    <row r="535" spans="1:5" ht="17.25" thickTop="1" thickBot="1" x14ac:dyDescent="0.3">
      <c r="A535" s="67"/>
      <c r="B535" s="10"/>
    </row>
    <row r="536" spans="1:5" ht="21" thickTop="1" thickBot="1" x14ac:dyDescent="0.45">
      <c r="A536" s="67"/>
      <c r="B536" s="30" t="s">
        <v>87</v>
      </c>
    </row>
    <row r="537" spans="1:5" ht="16.5" thickTop="1" x14ac:dyDescent="0.25">
      <c r="A537" s="67"/>
      <c r="B537" s="4" t="s">
        <v>80</v>
      </c>
    </row>
    <row r="538" spans="1:5" ht="15.75" x14ac:dyDescent="0.25">
      <c r="A538" s="67" t="s">
        <v>114</v>
      </c>
      <c r="B538" s="7" t="s">
        <v>122</v>
      </c>
      <c r="C538" s="44">
        <v>173574</v>
      </c>
      <c r="D538" s="44">
        <v>0</v>
      </c>
      <c r="E538" s="44">
        <v>0</v>
      </c>
    </row>
    <row r="539" spans="1:5" ht="15.75" x14ac:dyDescent="0.25">
      <c r="A539" s="67" t="s">
        <v>116</v>
      </c>
      <c r="B539" s="16" t="s">
        <v>117</v>
      </c>
      <c r="C539" s="44">
        <v>89179.8</v>
      </c>
      <c r="D539" s="44">
        <v>51838</v>
      </c>
      <c r="E539" s="44">
        <v>90000</v>
      </c>
    </row>
    <row r="540" spans="1:5" ht="15.75" x14ac:dyDescent="0.25">
      <c r="A540" s="67" t="s">
        <v>118</v>
      </c>
      <c r="B540" s="16" t="s">
        <v>119</v>
      </c>
      <c r="C540" s="44">
        <v>13773.83</v>
      </c>
      <c r="D540" s="44">
        <v>11324</v>
      </c>
      <c r="E540" s="44">
        <v>11000</v>
      </c>
    </row>
    <row r="541" spans="1:5" ht="16.5" thickBot="1" x14ac:dyDescent="0.3">
      <c r="A541" s="67" t="s">
        <v>140</v>
      </c>
      <c r="B541" s="16" t="s">
        <v>141</v>
      </c>
      <c r="C541" s="44">
        <v>4319998.6100000003</v>
      </c>
      <c r="D541" s="44">
        <v>5590531</v>
      </c>
      <c r="E541" s="44">
        <v>5474710</v>
      </c>
    </row>
    <row r="542" spans="1:5" ht="17.25" thickTop="1" thickBot="1" x14ac:dyDescent="0.3">
      <c r="A542" s="67"/>
      <c r="B542" s="17" t="s">
        <v>88</v>
      </c>
      <c r="C542" s="42">
        <f>SUM(C538:C541)</f>
        <v>4596526.24</v>
      </c>
      <c r="D542" s="42">
        <f>SUM(D538:D541)</f>
        <v>5653693</v>
      </c>
      <c r="E542" s="42">
        <v>5575710</v>
      </c>
    </row>
    <row r="543" spans="1:5" ht="16.5" thickTop="1" x14ac:dyDescent="0.25">
      <c r="A543" s="67"/>
      <c r="B543" s="10"/>
    </row>
    <row r="544" spans="1:5" ht="15.75" x14ac:dyDescent="0.25">
      <c r="A544" s="67"/>
      <c r="B544" s="4" t="s">
        <v>83</v>
      </c>
    </row>
    <row r="545" spans="1:5" ht="15.75" x14ac:dyDescent="0.25">
      <c r="A545" s="67" t="s">
        <v>178</v>
      </c>
      <c r="B545" s="14" t="s">
        <v>81</v>
      </c>
      <c r="C545" s="44">
        <v>870216.23</v>
      </c>
      <c r="D545" s="44">
        <v>904312</v>
      </c>
      <c r="E545" s="44">
        <v>879427</v>
      </c>
    </row>
    <row r="546" spans="1:5" ht="15.75" x14ac:dyDescent="0.25">
      <c r="A546" s="71" t="s">
        <v>203</v>
      </c>
      <c r="B546" s="14" t="s">
        <v>89</v>
      </c>
      <c r="C546" s="44">
        <f>4328339.78-C545-C547-C549</f>
        <v>1741052.0500000005</v>
      </c>
      <c r="D546" s="44">
        <f>1972236-8562</f>
        <v>1963674</v>
      </c>
      <c r="E546" s="44">
        <v>1349975</v>
      </c>
    </row>
    <row r="547" spans="1:5" ht="15.75" x14ac:dyDescent="0.25">
      <c r="A547" s="67" t="s">
        <v>204</v>
      </c>
      <c r="B547" s="22" t="s">
        <v>101</v>
      </c>
      <c r="C547" s="44">
        <f>37709.95+7215.12+19155</f>
        <v>64080.07</v>
      </c>
      <c r="D547" s="44">
        <v>1963170</v>
      </c>
      <c r="E547" s="44">
        <v>1923986</v>
      </c>
    </row>
    <row r="548" spans="1:5" ht="15.75" x14ac:dyDescent="0.25">
      <c r="A548" s="67" t="s">
        <v>220</v>
      </c>
      <c r="B548" s="22" t="s">
        <v>233</v>
      </c>
      <c r="C548" s="44">
        <v>0</v>
      </c>
      <c r="D548" s="44">
        <v>1106603</v>
      </c>
      <c r="E548" s="44">
        <v>1520800</v>
      </c>
    </row>
    <row r="549" spans="1:5" ht="16.5" thickBot="1" x14ac:dyDescent="0.3">
      <c r="A549" s="67" t="s">
        <v>149</v>
      </c>
      <c r="B549" s="26" t="s">
        <v>90</v>
      </c>
      <c r="C549" s="44">
        <v>1652991.43</v>
      </c>
      <c r="D549" s="44">
        <v>1500000</v>
      </c>
      <c r="E549" s="44">
        <v>1644244</v>
      </c>
    </row>
    <row r="550" spans="1:5" ht="17.25" thickTop="1" thickBot="1" x14ac:dyDescent="0.3">
      <c r="A550" s="67"/>
      <c r="B550" s="17" t="s">
        <v>84</v>
      </c>
      <c r="C550" s="42">
        <f>SUM(C545:C549)</f>
        <v>4328339.78</v>
      </c>
      <c r="D550" s="42">
        <f>SUM(D545:D549)</f>
        <v>7437759</v>
      </c>
      <c r="E550" s="42">
        <v>7318432</v>
      </c>
    </row>
    <row r="551" spans="1:5" ht="16.5" thickTop="1" x14ac:dyDescent="0.25">
      <c r="A551" s="67"/>
      <c r="B551" s="10"/>
    </row>
    <row r="552" spans="1:5" ht="15.75" x14ac:dyDescent="0.25">
      <c r="A552" s="67"/>
      <c r="B552" s="4" t="s">
        <v>85</v>
      </c>
    </row>
    <row r="553" spans="1:5" ht="16.5" thickBot="1" x14ac:dyDescent="0.3">
      <c r="A553" s="71" t="s">
        <v>262</v>
      </c>
      <c r="B553" s="7" t="s">
        <v>5</v>
      </c>
      <c r="C553" s="41">
        <v>719013.15</v>
      </c>
      <c r="D553" s="41">
        <v>30000</v>
      </c>
      <c r="E553" s="41">
        <v>0</v>
      </c>
    </row>
    <row r="554" spans="1:5" ht="17.25" thickTop="1" thickBot="1" x14ac:dyDescent="0.3">
      <c r="A554" s="71" t="s">
        <v>226</v>
      </c>
      <c r="B554" s="17" t="s">
        <v>86</v>
      </c>
      <c r="C554" s="42">
        <f>C542-C550+SUM(C553:C553)</f>
        <v>987199.61</v>
      </c>
      <c r="D554" s="42">
        <f>D542-D550+SUM(D553:D553)</f>
        <v>-1754066</v>
      </c>
      <c r="E554" s="42">
        <v>-1742722</v>
      </c>
    </row>
    <row r="555" spans="1:5" ht="17.25" thickTop="1" thickBot="1" x14ac:dyDescent="0.3">
      <c r="A555" s="67"/>
      <c r="B555" s="10"/>
    </row>
    <row r="556" spans="1:5" ht="21" thickTop="1" thickBot="1" x14ac:dyDescent="0.45">
      <c r="A556" s="67"/>
      <c r="B556" s="30" t="s">
        <v>91</v>
      </c>
    </row>
    <row r="557" spans="1:5" ht="16.5" thickTop="1" x14ac:dyDescent="0.25">
      <c r="A557" s="67"/>
      <c r="B557" s="4" t="s">
        <v>80</v>
      </c>
    </row>
    <row r="558" spans="1:5" ht="15.75" x14ac:dyDescent="0.25">
      <c r="A558" s="67" t="s">
        <v>116</v>
      </c>
      <c r="B558" s="7" t="s">
        <v>117</v>
      </c>
      <c r="C558" s="41">
        <v>556157.93999999994</v>
      </c>
      <c r="D558" s="41">
        <v>558256</v>
      </c>
      <c r="E558" s="41">
        <v>605915</v>
      </c>
    </row>
    <row r="559" spans="1:5" ht="15.75" x14ac:dyDescent="0.25">
      <c r="A559" s="67" t="s">
        <v>118</v>
      </c>
      <c r="B559" s="16" t="s">
        <v>119</v>
      </c>
      <c r="C559" s="41">
        <v>8368.24</v>
      </c>
      <c r="D559" s="41">
        <v>8534</v>
      </c>
      <c r="E559" s="41">
        <v>1500</v>
      </c>
    </row>
    <row r="560" spans="1:5" ht="15.75" x14ac:dyDescent="0.25">
      <c r="A560" s="67" t="s">
        <v>92</v>
      </c>
      <c r="B560" s="7" t="s">
        <v>142</v>
      </c>
      <c r="C560" s="41">
        <v>1691761.75</v>
      </c>
      <c r="D560" s="41">
        <v>2082500</v>
      </c>
      <c r="E560" s="41">
        <v>2079826</v>
      </c>
    </row>
    <row r="561" spans="1:5" ht="16.5" thickBot="1" x14ac:dyDescent="0.3">
      <c r="A561" s="67" t="s">
        <v>93</v>
      </c>
      <c r="B561" s="16" t="s">
        <v>143</v>
      </c>
      <c r="C561" s="41">
        <v>43438.5</v>
      </c>
      <c r="D561" s="41">
        <v>54950</v>
      </c>
      <c r="E561" s="41">
        <v>54950</v>
      </c>
    </row>
    <row r="562" spans="1:5" ht="17.25" thickTop="1" thickBot="1" x14ac:dyDescent="0.3">
      <c r="A562" s="67"/>
      <c r="B562" s="17" t="s">
        <v>88</v>
      </c>
      <c r="C562" s="42">
        <f>SUM(C558:C561)</f>
        <v>2299726.4299999997</v>
      </c>
      <c r="D562" s="42">
        <f>SUM(D558:D561)</f>
        <v>2704240</v>
      </c>
      <c r="E562" s="42">
        <v>2742191</v>
      </c>
    </row>
    <row r="563" spans="1:5" ht="16.5" thickTop="1" x14ac:dyDescent="0.25">
      <c r="A563" s="67"/>
      <c r="B563" s="15"/>
    </row>
    <row r="564" spans="1:5" x14ac:dyDescent="0.2">
      <c r="B564" s="4" t="s">
        <v>83</v>
      </c>
    </row>
    <row r="565" spans="1:5" ht="15.75" x14ac:dyDescent="0.25">
      <c r="A565" s="67" t="s">
        <v>94</v>
      </c>
      <c r="B565" s="7" t="s">
        <v>81</v>
      </c>
      <c r="C565" s="41">
        <v>699094.25</v>
      </c>
      <c r="D565" s="41">
        <v>746989</v>
      </c>
      <c r="E565" s="41">
        <v>767292</v>
      </c>
    </row>
    <row r="566" spans="1:5" ht="15.75" x14ac:dyDescent="0.25">
      <c r="A566" s="71" t="s">
        <v>95</v>
      </c>
      <c r="B566" s="7" t="s">
        <v>82</v>
      </c>
      <c r="C566" s="41">
        <v>1540146.61</v>
      </c>
      <c r="D566" s="41">
        <v>1576685</v>
      </c>
      <c r="E566" s="41">
        <v>1417113</v>
      </c>
    </row>
    <row r="567" spans="1:5" ht="15.75" x14ac:dyDescent="0.25">
      <c r="A567" s="67" t="s">
        <v>102</v>
      </c>
      <c r="B567" s="22" t="s">
        <v>101</v>
      </c>
      <c r="C567" s="41">
        <v>0</v>
      </c>
      <c r="D567" s="41">
        <v>266232</v>
      </c>
      <c r="E567" s="41">
        <v>0</v>
      </c>
    </row>
    <row r="568" spans="1:5" ht="15.75" x14ac:dyDescent="0.25">
      <c r="A568" s="67" t="s">
        <v>205</v>
      </c>
      <c r="B568" s="7" t="s">
        <v>206</v>
      </c>
      <c r="C568" s="41">
        <v>126275.52</v>
      </c>
      <c r="D568" s="41">
        <v>168313</v>
      </c>
      <c r="E568" s="41">
        <v>188831</v>
      </c>
    </row>
    <row r="569" spans="1:5" ht="15.75" x14ac:dyDescent="0.25">
      <c r="A569" s="71" t="s">
        <v>209</v>
      </c>
      <c r="B569" s="7" t="s">
        <v>207</v>
      </c>
      <c r="C569" s="41">
        <v>329920.23</v>
      </c>
      <c r="D569" s="41">
        <v>460862</v>
      </c>
      <c r="E569" s="41">
        <v>358955</v>
      </c>
    </row>
    <row r="570" spans="1:5" ht="15.75" x14ac:dyDescent="0.25">
      <c r="A570" s="67" t="s">
        <v>210</v>
      </c>
      <c r="B570" s="22" t="s">
        <v>208</v>
      </c>
      <c r="C570" s="41">
        <v>0</v>
      </c>
      <c r="D570" s="41">
        <v>0</v>
      </c>
      <c r="E570" s="41">
        <v>0</v>
      </c>
    </row>
    <row r="571" spans="1:5" ht="15.75" x14ac:dyDescent="0.25">
      <c r="A571" s="67" t="s">
        <v>151</v>
      </c>
      <c r="B571" s="22" t="s">
        <v>233</v>
      </c>
      <c r="C571" s="41">
        <v>0</v>
      </c>
      <c r="D571" s="41">
        <v>310483</v>
      </c>
      <c r="E571" s="41">
        <v>225038</v>
      </c>
    </row>
    <row r="572" spans="1:5" ht="16.5" thickBot="1" x14ac:dyDescent="0.3">
      <c r="A572" s="67" t="s">
        <v>150</v>
      </c>
      <c r="B572" s="16" t="s">
        <v>90</v>
      </c>
      <c r="C572" s="41">
        <v>4469.7299999999996</v>
      </c>
      <c r="D572" s="41">
        <v>25000</v>
      </c>
      <c r="E572" s="41">
        <v>10000</v>
      </c>
    </row>
    <row r="573" spans="1:5" ht="17.25" thickTop="1" thickBot="1" x14ac:dyDescent="0.3">
      <c r="A573" s="67"/>
      <c r="B573" s="17" t="s">
        <v>84</v>
      </c>
      <c r="C573" s="42">
        <f>SUM(C565:C572)</f>
        <v>2699906.3400000003</v>
      </c>
      <c r="D573" s="42">
        <f>SUM(D565:D572)</f>
        <v>3554564</v>
      </c>
      <c r="E573" s="42">
        <v>2967229</v>
      </c>
    </row>
    <row r="574" spans="1:5" ht="16.5" thickTop="1" x14ac:dyDescent="0.25">
      <c r="A574" s="67"/>
      <c r="B574" s="15"/>
    </row>
    <row r="575" spans="1:5" ht="15.75" x14ac:dyDescent="0.25">
      <c r="A575" s="67"/>
      <c r="B575" s="24" t="s">
        <v>85</v>
      </c>
    </row>
    <row r="576" spans="1:5" ht="15.75" x14ac:dyDescent="0.25">
      <c r="A576" s="67" t="s">
        <v>221</v>
      </c>
      <c r="B576" s="16" t="s">
        <v>128</v>
      </c>
      <c r="C576" s="41">
        <v>-398256.6</v>
      </c>
      <c r="D576" s="41">
        <v>0</v>
      </c>
      <c r="E576" s="41">
        <v>0</v>
      </c>
    </row>
    <row r="577" spans="1:5" ht="16.5" thickBot="1" x14ac:dyDescent="0.3">
      <c r="A577" s="67" t="s">
        <v>221</v>
      </c>
      <c r="B577" s="66" t="s">
        <v>308</v>
      </c>
      <c r="C577" s="41">
        <v>-135355.96</v>
      </c>
      <c r="D577" s="41">
        <v>0</v>
      </c>
      <c r="E577" s="41">
        <v>0</v>
      </c>
    </row>
    <row r="578" spans="1:5" ht="17.25" thickTop="1" thickBot="1" x14ac:dyDescent="0.3">
      <c r="A578" s="71" t="s">
        <v>226</v>
      </c>
      <c r="B578" s="17" t="s">
        <v>86</v>
      </c>
      <c r="C578" s="42">
        <f>C562-C573+SUM(C576:C577)</f>
        <v>-933792.47000000055</v>
      </c>
      <c r="D578" s="42">
        <f>D562-D573+SUM(D576:D577)</f>
        <v>-850324</v>
      </c>
      <c r="E578" s="42">
        <v>-225038</v>
      </c>
    </row>
    <row r="579" spans="1:5" ht="17.25" thickTop="1" thickBot="1" x14ac:dyDescent="0.3">
      <c r="A579" s="67"/>
      <c r="B579" s="15"/>
    </row>
    <row r="580" spans="1:5" ht="21" thickTop="1" thickBot="1" x14ac:dyDescent="0.45">
      <c r="A580" s="67"/>
      <c r="B580" s="30" t="s">
        <v>96</v>
      </c>
    </row>
    <row r="581" spans="1:5" ht="16.5" thickTop="1" x14ac:dyDescent="0.25">
      <c r="A581" s="67"/>
      <c r="B581" s="4" t="s">
        <v>80</v>
      </c>
    </row>
    <row r="582" spans="1:5" ht="15.75" x14ac:dyDescent="0.25">
      <c r="A582" s="67" t="s">
        <v>114</v>
      </c>
      <c r="B582" s="16" t="s">
        <v>141</v>
      </c>
      <c r="C582" s="41">
        <v>0</v>
      </c>
      <c r="D582" s="41">
        <v>0</v>
      </c>
      <c r="E582" s="41">
        <v>0</v>
      </c>
    </row>
    <row r="583" spans="1:5" ht="15.75" x14ac:dyDescent="0.25">
      <c r="A583" s="67" t="s">
        <v>116</v>
      </c>
      <c r="B583" s="7" t="s">
        <v>117</v>
      </c>
      <c r="C583" s="41">
        <v>558223.55000000005</v>
      </c>
      <c r="D583" s="41">
        <v>746006</v>
      </c>
      <c r="E583" s="41">
        <v>590919</v>
      </c>
    </row>
    <row r="584" spans="1:5" ht="15.75" x14ac:dyDescent="0.25">
      <c r="A584" s="67" t="s">
        <v>118</v>
      </c>
      <c r="B584" s="16" t="s">
        <v>119</v>
      </c>
      <c r="C584" s="41">
        <v>15312.53</v>
      </c>
      <c r="D584" s="41">
        <f>53465-34797</f>
        <v>18668</v>
      </c>
      <c r="E584" s="41">
        <v>20000</v>
      </c>
    </row>
    <row r="585" spans="1:5" ht="16.5" thickBot="1" x14ac:dyDescent="0.3">
      <c r="A585" s="67" t="s">
        <v>140</v>
      </c>
      <c r="B585" s="7" t="s">
        <v>141</v>
      </c>
      <c r="C585" s="41">
        <v>7002561.0599999996</v>
      </c>
      <c r="D585" s="41">
        <v>8052339</v>
      </c>
      <c r="E585" s="41">
        <v>8008822</v>
      </c>
    </row>
    <row r="586" spans="1:5" ht="17.25" thickTop="1" thickBot="1" x14ac:dyDescent="0.3">
      <c r="A586" s="67"/>
      <c r="B586" s="17" t="s">
        <v>88</v>
      </c>
      <c r="C586" s="42">
        <f>SUM(C582:C585)</f>
        <v>7576097.1399999997</v>
      </c>
      <c r="D586" s="42">
        <f>SUM(D582:D585)</f>
        <v>8817013</v>
      </c>
      <c r="E586" s="42">
        <v>8619741</v>
      </c>
    </row>
    <row r="587" spans="1:5" ht="16.5" thickTop="1" x14ac:dyDescent="0.25">
      <c r="A587" s="67"/>
      <c r="B587" s="15"/>
    </row>
    <row r="588" spans="1:5" x14ac:dyDescent="0.2">
      <c r="B588" s="4" t="s">
        <v>83</v>
      </c>
    </row>
    <row r="589" spans="1:5" ht="15.75" x14ac:dyDescent="0.25">
      <c r="A589" s="67" t="s">
        <v>97</v>
      </c>
      <c r="B589" s="7" t="s">
        <v>81</v>
      </c>
      <c r="C589" s="41">
        <v>2125640.61</v>
      </c>
      <c r="D589" s="41">
        <v>2271556</v>
      </c>
      <c r="E589" s="41">
        <v>2210019</v>
      </c>
    </row>
    <row r="590" spans="1:5" ht="15.75" x14ac:dyDescent="0.25">
      <c r="A590" s="71" t="s">
        <v>211</v>
      </c>
      <c r="B590" s="7" t="s">
        <v>82</v>
      </c>
      <c r="C590" s="41">
        <v>2851945.03</v>
      </c>
      <c r="D590" s="41">
        <v>3012473</v>
      </c>
      <c r="E590" s="41">
        <v>2706309</v>
      </c>
    </row>
    <row r="591" spans="1:5" ht="15.75" x14ac:dyDescent="0.25">
      <c r="A591" s="67" t="s">
        <v>212</v>
      </c>
      <c r="B591" s="22" t="s">
        <v>101</v>
      </c>
      <c r="C591" s="41">
        <v>0</v>
      </c>
      <c r="D591" s="41">
        <v>43721</v>
      </c>
      <c r="E591" s="41">
        <v>0</v>
      </c>
    </row>
    <row r="592" spans="1:5" ht="15.75" x14ac:dyDescent="0.25">
      <c r="A592" s="67" t="s">
        <v>222</v>
      </c>
      <c r="B592" s="22" t="s">
        <v>233</v>
      </c>
      <c r="C592" s="41">
        <v>0</v>
      </c>
      <c r="D592" s="41">
        <v>965236</v>
      </c>
      <c r="E592" s="41">
        <v>1245473</v>
      </c>
    </row>
    <row r="593" spans="1:5" ht="16.5" thickBot="1" x14ac:dyDescent="0.3">
      <c r="A593" s="67" t="s">
        <v>98</v>
      </c>
      <c r="B593" s="16" t="s">
        <v>90</v>
      </c>
      <c r="C593" s="41">
        <v>87379.23</v>
      </c>
      <c r="D593" s="41">
        <v>75000</v>
      </c>
      <c r="E593" s="41">
        <v>90000</v>
      </c>
    </row>
    <row r="594" spans="1:5" ht="17.25" thickTop="1" thickBot="1" x14ac:dyDescent="0.3">
      <c r="A594" s="67"/>
      <c r="B594" s="17" t="s">
        <v>84</v>
      </c>
      <c r="C594" s="42">
        <f>SUM(C589:C593)</f>
        <v>5064964.87</v>
      </c>
      <c r="D594" s="42">
        <f>SUM(D589:D593)</f>
        <v>6367986</v>
      </c>
      <c r="E594" s="42">
        <v>6251801</v>
      </c>
    </row>
    <row r="595" spans="1:5" ht="16.5" thickTop="1" x14ac:dyDescent="0.25">
      <c r="A595" s="67"/>
      <c r="B595" s="15"/>
    </row>
    <row r="596" spans="1:5" ht="15.75" x14ac:dyDescent="0.25">
      <c r="A596" s="67"/>
      <c r="B596" s="24" t="s">
        <v>85</v>
      </c>
    </row>
    <row r="597" spans="1:5" ht="15.75" x14ac:dyDescent="0.25">
      <c r="A597" s="71" t="s">
        <v>262</v>
      </c>
      <c r="B597" s="16" t="s">
        <v>5</v>
      </c>
      <c r="C597" s="41">
        <v>15647.85</v>
      </c>
      <c r="D597" s="41">
        <v>34797</v>
      </c>
      <c r="E597" s="41">
        <v>5000</v>
      </c>
    </row>
    <row r="598" spans="1:5" ht="15.75" x14ac:dyDescent="0.25">
      <c r="A598" s="71" t="s">
        <v>146</v>
      </c>
      <c r="B598" s="7" t="s">
        <v>309</v>
      </c>
      <c r="C598" s="41">
        <v>-2589899.44</v>
      </c>
      <c r="D598" s="41">
        <v>-2595714</v>
      </c>
      <c r="E598" s="41">
        <v>-2475440</v>
      </c>
    </row>
    <row r="599" spans="1:5" ht="16.5" thickBot="1" x14ac:dyDescent="0.3">
      <c r="A599" s="71" t="s">
        <v>146</v>
      </c>
      <c r="B599" s="7" t="s">
        <v>308</v>
      </c>
      <c r="C599" s="41">
        <v>-201883.27</v>
      </c>
      <c r="D599" s="41">
        <v>0</v>
      </c>
      <c r="E599" s="41">
        <v>0</v>
      </c>
    </row>
    <row r="600" spans="1:5" ht="17.25" thickTop="1" thickBot="1" x14ac:dyDescent="0.3">
      <c r="A600" s="71" t="s">
        <v>226</v>
      </c>
      <c r="B600" s="17" t="s">
        <v>86</v>
      </c>
      <c r="C600" s="42">
        <f>C586-C594+SUM(C597:C599)</f>
        <v>-265002.59000000032</v>
      </c>
      <c r="D600" s="42">
        <f>D586-D594+SUM(D597:D599)</f>
        <v>-111890</v>
      </c>
      <c r="E600" s="42">
        <v>-102500</v>
      </c>
    </row>
    <row r="601" spans="1:5" ht="17.25" thickTop="1" thickBot="1" x14ac:dyDescent="0.3">
      <c r="A601" s="67"/>
      <c r="B601" s="15"/>
    </row>
    <row r="602" spans="1:5" ht="21" thickTop="1" thickBot="1" x14ac:dyDescent="0.45">
      <c r="A602" s="67"/>
      <c r="B602" s="30" t="s">
        <v>99</v>
      </c>
    </row>
    <row r="603" spans="1:5" ht="16.5" thickTop="1" x14ac:dyDescent="0.25">
      <c r="A603" s="67"/>
      <c r="B603" s="4" t="s">
        <v>80</v>
      </c>
    </row>
    <row r="604" spans="1:5" ht="15.75" x14ac:dyDescent="0.25">
      <c r="A604" s="67" t="s">
        <v>114</v>
      </c>
      <c r="B604" s="7" t="s">
        <v>122</v>
      </c>
      <c r="C604" s="41">
        <v>0</v>
      </c>
      <c r="D604" s="41">
        <v>0</v>
      </c>
      <c r="E604" s="41">
        <v>0</v>
      </c>
    </row>
    <row r="605" spans="1:5" ht="15.75" x14ac:dyDescent="0.25">
      <c r="A605" s="67" t="s">
        <v>116</v>
      </c>
      <c r="B605" s="7" t="s">
        <v>117</v>
      </c>
      <c r="C605" s="41">
        <v>57444.56</v>
      </c>
      <c r="D605" s="41">
        <v>84972</v>
      </c>
      <c r="E605" s="41">
        <v>60503</v>
      </c>
    </row>
    <row r="606" spans="1:5" ht="15.75" x14ac:dyDescent="0.25">
      <c r="A606" s="67" t="s">
        <v>118</v>
      </c>
      <c r="B606" s="7" t="s">
        <v>119</v>
      </c>
      <c r="C606" s="41">
        <v>3420.95</v>
      </c>
      <c r="D606" s="41">
        <v>3731</v>
      </c>
      <c r="E606" s="41">
        <v>3500</v>
      </c>
    </row>
    <row r="607" spans="1:5" ht="16.5" thickBot="1" x14ac:dyDescent="0.3">
      <c r="A607" s="67" t="s">
        <v>140</v>
      </c>
      <c r="B607" s="7" t="s">
        <v>141</v>
      </c>
      <c r="C607" s="41">
        <v>586571.51</v>
      </c>
      <c r="D607" s="41">
        <v>729420</v>
      </c>
      <c r="E607" s="41">
        <v>738980</v>
      </c>
    </row>
    <row r="608" spans="1:5" ht="17.25" thickTop="1" thickBot="1" x14ac:dyDescent="0.3">
      <c r="A608" s="67"/>
      <c r="B608" s="17" t="s">
        <v>88</v>
      </c>
      <c r="C608" s="42">
        <f>SUM(C604:C607)</f>
        <v>647437.02</v>
      </c>
      <c r="D608" s="42">
        <f>SUM(D604:D607)</f>
        <v>818123</v>
      </c>
      <c r="E608" s="42">
        <v>802983</v>
      </c>
    </row>
    <row r="609" spans="1:5" ht="16.5" thickTop="1" x14ac:dyDescent="0.25">
      <c r="A609" s="67"/>
      <c r="B609" s="15"/>
    </row>
    <row r="610" spans="1:5" x14ac:dyDescent="0.2">
      <c r="B610" s="4" t="s">
        <v>83</v>
      </c>
    </row>
    <row r="611" spans="1:5" ht="15.75" x14ac:dyDescent="0.25">
      <c r="A611" s="67" t="s">
        <v>100</v>
      </c>
      <c r="B611" s="7" t="s">
        <v>81</v>
      </c>
      <c r="C611" s="41">
        <v>149392.16</v>
      </c>
      <c r="D611" s="41">
        <v>245051</v>
      </c>
      <c r="E611" s="41">
        <v>217332</v>
      </c>
    </row>
    <row r="612" spans="1:5" ht="15.75" x14ac:dyDescent="0.25">
      <c r="A612" s="71" t="s">
        <v>213</v>
      </c>
      <c r="B612" s="7" t="s">
        <v>82</v>
      </c>
      <c r="C612" s="41">
        <v>255818.5</v>
      </c>
      <c r="D612" s="41">
        <f>451033-110000</f>
        <v>341033</v>
      </c>
      <c r="E612" s="41">
        <v>280566</v>
      </c>
    </row>
    <row r="613" spans="1:5" ht="15.75" x14ac:dyDescent="0.25">
      <c r="A613" s="67" t="s">
        <v>214</v>
      </c>
      <c r="B613" s="22" t="s">
        <v>101</v>
      </c>
      <c r="C613" s="41">
        <v>0</v>
      </c>
      <c r="D613" s="41">
        <v>0</v>
      </c>
      <c r="E613" s="41">
        <v>12000</v>
      </c>
    </row>
    <row r="614" spans="1:5" ht="15.75" x14ac:dyDescent="0.25">
      <c r="A614" s="67" t="s">
        <v>223</v>
      </c>
      <c r="B614" s="22" t="s">
        <v>233</v>
      </c>
      <c r="C614" s="41">
        <v>0</v>
      </c>
      <c r="D614" s="41">
        <v>215687</v>
      </c>
      <c r="E614" s="41">
        <v>219669</v>
      </c>
    </row>
    <row r="615" spans="1:5" ht="16.5" thickBot="1" x14ac:dyDescent="0.3">
      <c r="A615" s="67" t="s">
        <v>147</v>
      </c>
      <c r="B615" s="16" t="s">
        <v>90</v>
      </c>
      <c r="C615" s="41">
        <v>90360.06</v>
      </c>
      <c r="D615" s="41">
        <v>110000</v>
      </c>
      <c r="E615" s="41">
        <v>95000</v>
      </c>
    </row>
    <row r="616" spans="1:5" ht="17.25" thickTop="1" thickBot="1" x14ac:dyDescent="0.3">
      <c r="A616" s="67"/>
      <c r="B616" s="17" t="s">
        <v>84</v>
      </c>
      <c r="C616" s="42">
        <f>SUM(C611:C615)</f>
        <v>495570.72000000003</v>
      </c>
      <c r="D616" s="42">
        <f>SUM(D611:D615)</f>
        <v>911771</v>
      </c>
      <c r="E616" s="42">
        <v>824567</v>
      </c>
    </row>
    <row r="617" spans="1:5" ht="16.5" thickTop="1" x14ac:dyDescent="0.25">
      <c r="A617" s="67"/>
      <c r="B617" s="15"/>
      <c r="C617" s="48"/>
      <c r="D617" s="48"/>
      <c r="E617" s="48"/>
    </row>
    <row r="618" spans="1:5" ht="16.5" thickBot="1" x14ac:dyDescent="0.3">
      <c r="A618" s="67"/>
      <c r="B618" s="4" t="s">
        <v>85</v>
      </c>
      <c r="C618" s="48"/>
      <c r="D618" s="48"/>
      <c r="E618" s="48"/>
    </row>
    <row r="619" spans="1:5" ht="17.25" thickTop="1" thickBot="1" x14ac:dyDescent="0.3">
      <c r="A619" s="71" t="s">
        <v>226</v>
      </c>
      <c r="B619" s="17" t="s">
        <v>86</v>
      </c>
      <c r="C619" s="42">
        <f>C608-C616</f>
        <v>151866.29999999999</v>
      </c>
      <c r="D619" s="42">
        <f>D608-D616</f>
        <v>-93648</v>
      </c>
      <c r="E619" s="42">
        <v>-21584</v>
      </c>
    </row>
    <row r="620" spans="1:5" ht="17.25" thickTop="1" thickBot="1" x14ac:dyDescent="0.3">
      <c r="A620" s="67"/>
      <c r="B620" s="15"/>
    </row>
    <row r="621" spans="1:5" ht="21" thickTop="1" thickBot="1" x14ac:dyDescent="0.45">
      <c r="A621" s="67"/>
      <c r="B621" s="30" t="s">
        <v>103</v>
      </c>
    </row>
    <row r="622" spans="1:5" ht="16.5" thickTop="1" x14ac:dyDescent="0.25">
      <c r="A622" s="67"/>
      <c r="B622" s="4" t="s">
        <v>80</v>
      </c>
    </row>
    <row r="623" spans="1:5" ht="15.75" x14ac:dyDescent="0.25">
      <c r="A623" s="67" t="s">
        <v>114</v>
      </c>
      <c r="B623" s="7" t="s">
        <v>122</v>
      </c>
      <c r="C623" s="41">
        <v>0</v>
      </c>
      <c r="D623" s="41">
        <v>0</v>
      </c>
      <c r="E623" s="41">
        <v>0</v>
      </c>
    </row>
    <row r="624" spans="1:5" ht="15.75" x14ac:dyDescent="0.25">
      <c r="A624" s="67" t="s">
        <v>116</v>
      </c>
      <c r="B624" s="7" t="s">
        <v>117</v>
      </c>
      <c r="C624" s="41">
        <v>378869.25</v>
      </c>
      <c r="D624" s="41">
        <v>347882</v>
      </c>
      <c r="E624" s="41">
        <v>350564</v>
      </c>
    </row>
    <row r="625" spans="1:5" ht="15.75" x14ac:dyDescent="0.25">
      <c r="A625" s="67" t="s">
        <v>118</v>
      </c>
      <c r="B625" s="7" t="s">
        <v>119</v>
      </c>
      <c r="C625" s="41">
        <v>0</v>
      </c>
      <c r="D625" s="41">
        <v>500</v>
      </c>
      <c r="E625" s="41">
        <v>0</v>
      </c>
    </row>
    <row r="626" spans="1:5" ht="16.5" thickBot="1" x14ac:dyDescent="0.3">
      <c r="A626" s="67" t="s">
        <v>140</v>
      </c>
      <c r="B626" s="7" t="s">
        <v>141</v>
      </c>
      <c r="C626" s="41">
        <v>555471.69999999995</v>
      </c>
      <c r="D626" s="41">
        <v>760392</v>
      </c>
      <c r="E626" s="41">
        <v>843168</v>
      </c>
    </row>
    <row r="627" spans="1:5" ht="17.25" thickTop="1" thickBot="1" x14ac:dyDescent="0.3">
      <c r="A627" s="67"/>
      <c r="B627" s="17" t="s">
        <v>88</v>
      </c>
      <c r="C627" s="45">
        <f>SUM(C623:C626)</f>
        <v>934340.95</v>
      </c>
      <c r="D627" s="45">
        <f>SUM(D623:D626)</f>
        <v>1108774</v>
      </c>
      <c r="E627" s="45">
        <v>1193732</v>
      </c>
    </row>
    <row r="628" spans="1:5" ht="16.5" thickTop="1" x14ac:dyDescent="0.25">
      <c r="A628" s="67"/>
      <c r="B628" s="15"/>
    </row>
    <row r="629" spans="1:5" ht="15.75" x14ac:dyDescent="0.25">
      <c r="A629" s="67"/>
      <c r="B629" s="4" t="s">
        <v>83</v>
      </c>
    </row>
    <row r="630" spans="1:5" ht="15.75" x14ac:dyDescent="0.25">
      <c r="A630" s="71" t="s">
        <v>144</v>
      </c>
      <c r="B630" s="14" t="s">
        <v>81</v>
      </c>
      <c r="C630" s="41">
        <v>76042.649999999994</v>
      </c>
      <c r="D630" s="41">
        <v>161303</v>
      </c>
      <c r="E630" s="41">
        <v>201321</v>
      </c>
    </row>
    <row r="631" spans="1:5" ht="15.75" x14ac:dyDescent="0.25">
      <c r="A631" s="71" t="s">
        <v>215</v>
      </c>
      <c r="B631" s="14" t="s">
        <v>82</v>
      </c>
      <c r="C631" s="73">
        <f>516806.71+22299.7</f>
        <v>539106.41</v>
      </c>
      <c r="D631" s="41">
        <v>621532</v>
      </c>
      <c r="E631" s="41">
        <v>567792</v>
      </c>
    </row>
    <row r="632" spans="1:5" ht="15.75" x14ac:dyDescent="0.25">
      <c r="A632" s="67" t="s">
        <v>216</v>
      </c>
      <c r="B632" s="22" t="s">
        <v>101</v>
      </c>
      <c r="C632" s="41">
        <v>0</v>
      </c>
      <c r="D632" s="41">
        <v>0</v>
      </c>
      <c r="E632" s="41">
        <v>29225</v>
      </c>
    </row>
    <row r="633" spans="1:5" ht="15.75" x14ac:dyDescent="0.25">
      <c r="A633" s="67" t="s">
        <v>224</v>
      </c>
      <c r="B633" s="22" t="s">
        <v>233</v>
      </c>
      <c r="C633" s="41">
        <v>0</v>
      </c>
      <c r="D633" s="41">
        <v>311829</v>
      </c>
      <c r="E633" s="41">
        <v>306634</v>
      </c>
    </row>
    <row r="634" spans="1:5" ht="16.5" thickBot="1" x14ac:dyDescent="0.3">
      <c r="A634" s="67" t="s">
        <v>152</v>
      </c>
      <c r="B634" s="16" t="s">
        <v>90</v>
      </c>
      <c r="C634" s="41">
        <v>115080.3</v>
      </c>
      <c r="D634" s="41">
        <v>110000</v>
      </c>
      <c r="E634" s="41">
        <v>120000</v>
      </c>
    </row>
    <row r="635" spans="1:5" ht="17.25" thickTop="1" thickBot="1" x14ac:dyDescent="0.3">
      <c r="A635" s="67"/>
      <c r="B635" s="17" t="s">
        <v>84</v>
      </c>
      <c r="C635" s="45">
        <f>SUM(C630:C634)</f>
        <v>730229.3600000001</v>
      </c>
      <c r="D635" s="45">
        <f>SUM(D630:D634)</f>
        <v>1204664</v>
      </c>
      <c r="E635" s="45">
        <v>1224972</v>
      </c>
    </row>
    <row r="636" spans="1:5" ht="16.5" thickTop="1" x14ac:dyDescent="0.25">
      <c r="A636" s="67"/>
      <c r="B636" s="15"/>
    </row>
    <row r="637" spans="1:5" ht="15.75" x14ac:dyDescent="0.25">
      <c r="A637" s="67"/>
      <c r="B637" s="4" t="s">
        <v>85</v>
      </c>
    </row>
    <row r="638" spans="1:5" ht="16.5" thickBot="1" x14ac:dyDescent="0.3">
      <c r="A638" s="67" t="s">
        <v>313</v>
      </c>
      <c r="B638" s="7" t="s">
        <v>308</v>
      </c>
      <c r="C638" s="41">
        <v>-93787.22</v>
      </c>
      <c r="D638" s="41">
        <v>0</v>
      </c>
      <c r="E638" s="41">
        <v>0</v>
      </c>
    </row>
    <row r="639" spans="1:5" ht="17.25" thickTop="1" thickBot="1" x14ac:dyDescent="0.3">
      <c r="A639" s="71" t="s">
        <v>226</v>
      </c>
      <c r="B639" s="17" t="s">
        <v>86</v>
      </c>
      <c r="C639" s="45">
        <f>C627-C635+C638</f>
        <v>110324.36999999985</v>
      </c>
      <c r="D639" s="45">
        <f>D627-D635+D638</f>
        <v>-95890</v>
      </c>
      <c r="E639" s="45">
        <v>-31240</v>
      </c>
    </row>
    <row r="640" spans="1:5" ht="17.25" thickTop="1" thickBot="1" x14ac:dyDescent="0.3">
      <c r="A640" s="67"/>
      <c r="B640" s="15"/>
      <c r="C640" s="46"/>
      <c r="D640" s="46"/>
      <c r="E640" s="46"/>
    </row>
    <row r="641" spans="1:5" ht="21" thickTop="1" thickBot="1" x14ac:dyDescent="0.45">
      <c r="A641" s="67"/>
      <c r="B641" s="30" t="s">
        <v>106</v>
      </c>
    </row>
    <row r="642" spans="1:5" ht="16.5" thickTop="1" x14ac:dyDescent="0.25">
      <c r="A642" s="67"/>
      <c r="B642" s="4" t="s">
        <v>80</v>
      </c>
    </row>
    <row r="643" spans="1:5" ht="15.75" x14ac:dyDescent="0.25">
      <c r="A643" s="67" t="s">
        <v>114</v>
      </c>
      <c r="B643" s="7" t="s">
        <v>122</v>
      </c>
      <c r="C643" s="41">
        <v>0</v>
      </c>
      <c r="D643" s="41">
        <v>0</v>
      </c>
      <c r="E643" s="41">
        <v>0</v>
      </c>
    </row>
    <row r="644" spans="1:5" ht="15.75" x14ac:dyDescent="0.25">
      <c r="A644" s="67" t="s">
        <v>116</v>
      </c>
      <c r="B644" s="7" t="s">
        <v>117</v>
      </c>
      <c r="C644" s="41">
        <v>27528</v>
      </c>
      <c r="D644" s="41">
        <v>26171</v>
      </c>
      <c r="E644" s="41">
        <v>28000</v>
      </c>
    </row>
    <row r="645" spans="1:5" ht="15.75" x14ac:dyDescent="0.25">
      <c r="A645" s="67" t="s">
        <v>118</v>
      </c>
      <c r="B645" s="7" t="s">
        <v>119</v>
      </c>
      <c r="C645" s="41">
        <v>11780.92</v>
      </c>
      <c r="D645" s="41">
        <v>9429</v>
      </c>
      <c r="E645" s="41">
        <v>12000</v>
      </c>
    </row>
    <row r="646" spans="1:5" ht="16.5" thickBot="1" x14ac:dyDescent="0.3">
      <c r="A646" s="67" t="s">
        <v>140</v>
      </c>
      <c r="B646" s="25" t="s">
        <v>141</v>
      </c>
      <c r="C646" s="41">
        <v>2948452.83</v>
      </c>
      <c r="D646" s="41">
        <v>3575491</v>
      </c>
      <c r="E646" s="41">
        <v>3758414</v>
      </c>
    </row>
    <row r="647" spans="1:5" ht="17.25" thickTop="1" thickBot="1" x14ac:dyDescent="0.3">
      <c r="A647" s="67"/>
      <c r="B647" s="17" t="s">
        <v>88</v>
      </c>
      <c r="C647" s="45">
        <f>SUM(C643:C646)</f>
        <v>2987761.75</v>
      </c>
      <c r="D647" s="45">
        <f>SUM(D643:D646)</f>
        <v>3611091</v>
      </c>
      <c r="E647" s="45">
        <v>3798414</v>
      </c>
    </row>
    <row r="648" spans="1:5" ht="16.5" thickTop="1" x14ac:dyDescent="0.25">
      <c r="A648" s="67"/>
      <c r="B648" s="15"/>
    </row>
    <row r="649" spans="1:5" ht="15.75" x14ac:dyDescent="0.25">
      <c r="A649" s="71"/>
      <c r="B649" s="4" t="s">
        <v>83</v>
      </c>
    </row>
    <row r="650" spans="1:5" ht="15.75" x14ac:dyDescent="0.25">
      <c r="A650" s="71" t="s">
        <v>145</v>
      </c>
      <c r="B650" s="7" t="s">
        <v>153</v>
      </c>
      <c r="C650" s="41">
        <v>758590.39</v>
      </c>
      <c r="D650" s="41">
        <v>819575</v>
      </c>
      <c r="E650" s="41">
        <v>848468</v>
      </c>
    </row>
    <row r="651" spans="1:5" ht="15.75" x14ac:dyDescent="0.25">
      <c r="A651" s="71" t="s">
        <v>218</v>
      </c>
      <c r="B651" s="7" t="s">
        <v>154</v>
      </c>
      <c r="C651" s="41">
        <f>483901.15+92358.56</f>
        <v>576259.71</v>
      </c>
      <c r="D651" s="73">
        <f>654066+94438</f>
        <v>748504</v>
      </c>
      <c r="E651" s="41">
        <v>700232</v>
      </c>
    </row>
    <row r="652" spans="1:5" ht="15.75" x14ac:dyDescent="0.25">
      <c r="A652" s="67" t="s">
        <v>217</v>
      </c>
      <c r="B652" s="16" t="s">
        <v>161</v>
      </c>
      <c r="C652" s="41">
        <v>-16830.54</v>
      </c>
      <c r="D652" s="41">
        <v>260904</v>
      </c>
      <c r="E652" s="41">
        <v>35000</v>
      </c>
    </row>
    <row r="653" spans="1:5" ht="15.75" x14ac:dyDescent="0.25">
      <c r="A653" s="67" t="s">
        <v>225</v>
      </c>
      <c r="B653" s="7" t="s">
        <v>233</v>
      </c>
      <c r="C653" s="41">
        <v>0</v>
      </c>
      <c r="D653" s="41">
        <v>1187864</v>
      </c>
      <c r="E653" s="41">
        <v>639929</v>
      </c>
    </row>
    <row r="654" spans="1:5" ht="15.75" x14ac:dyDescent="0.25">
      <c r="A654" s="67" t="s">
        <v>159</v>
      </c>
      <c r="B654" s="16" t="s">
        <v>90</v>
      </c>
      <c r="C654" s="41">
        <v>68174.100000000006</v>
      </c>
      <c r="D654" s="41">
        <v>100000</v>
      </c>
      <c r="E654" s="41">
        <v>100000</v>
      </c>
    </row>
    <row r="655" spans="1:5" ht="15.75" x14ac:dyDescent="0.25">
      <c r="A655" s="71" t="s">
        <v>155</v>
      </c>
      <c r="B655" s="7" t="s">
        <v>157</v>
      </c>
      <c r="C655" s="41">
        <v>1249578.42</v>
      </c>
      <c r="D655" s="41">
        <v>1321342</v>
      </c>
      <c r="E655" s="41">
        <v>1507051</v>
      </c>
    </row>
    <row r="656" spans="1:5" ht="15.75" x14ac:dyDescent="0.25">
      <c r="A656" s="71" t="s">
        <v>156</v>
      </c>
      <c r="B656" s="7" t="s">
        <v>158</v>
      </c>
      <c r="C656" s="41">
        <v>122339.42</v>
      </c>
      <c r="D656" s="41">
        <v>135700</v>
      </c>
      <c r="E656" s="41">
        <v>136497</v>
      </c>
    </row>
    <row r="657" spans="1:5" ht="16.5" thickBot="1" x14ac:dyDescent="0.3">
      <c r="A657" s="67" t="s">
        <v>160</v>
      </c>
      <c r="B657" s="16" t="s">
        <v>162</v>
      </c>
      <c r="C657" s="41">
        <v>0</v>
      </c>
      <c r="D657" s="41">
        <v>0</v>
      </c>
      <c r="E657" s="41">
        <v>0</v>
      </c>
    </row>
    <row r="658" spans="1:5" ht="17.25" thickTop="1" thickBot="1" x14ac:dyDescent="0.3">
      <c r="A658" s="67"/>
      <c r="B658" s="17" t="s">
        <v>84</v>
      </c>
      <c r="C658" s="45">
        <f>SUM(C650:C657)</f>
        <v>2758111.5</v>
      </c>
      <c r="D658" s="45">
        <f>SUM(D650:D657)</f>
        <v>4573889</v>
      </c>
      <c r="E658" s="45">
        <v>3967177</v>
      </c>
    </row>
    <row r="659" spans="1:5" ht="16.5" thickTop="1" x14ac:dyDescent="0.25">
      <c r="A659" s="67"/>
      <c r="B659" s="15"/>
    </row>
    <row r="660" spans="1:5" ht="15.75" x14ac:dyDescent="0.25">
      <c r="A660" s="67"/>
      <c r="B660" s="24" t="s">
        <v>85</v>
      </c>
    </row>
    <row r="661" spans="1:5" ht="16.5" thickBot="1" x14ac:dyDescent="0.3">
      <c r="A661" s="71" t="s">
        <v>262</v>
      </c>
      <c r="B661" s="7" t="s">
        <v>5</v>
      </c>
      <c r="C661" s="41">
        <v>14541.95</v>
      </c>
      <c r="D661" s="41">
        <v>12000</v>
      </c>
      <c r="E661" s="41">
        <v>0</v>
      </c>
    </row>
    <row r="662" spans="1:5" ht="17.25" thickTop="1" thickBot="1" x14ac:dyDescent="0.3">
      <c r="A662" s="71" t="s">
        <v>226</v>
      </c>
      <c r="B662" s="17" t="s">
        <v>86</v>
      </c>
      <c r="C662" s="45">
        <f>C647+C661-C658</f>
        <v>244192.20000000019</v>
      </c>
      <c r="D662" s="45">
        <f>D647+D661-D658</f>
        <v>-950798</v>
      </c>
      <c r="E662" s="45">
        <v>-168763</v>
      </c>
    </row>
    <row r="663" spans="1:5" ht="15.75" thickTop="1" x14ac:dyDescent="0.2"/>
  </sheetData>
  <sheetProtection insertRows="0" deleteRows="0"/>
  <customSheetViews>
    <customSheetView guid="{9A0F58E2-86D1-4C31-B508-0A9EC0FD1CF8}" scale="75" showRuler="0">
      <pane xSplit="2" ySplit="3" topLeftCell="F192" activePane="bottomRight" state="frozen"/>
      <selection pane="bottomRight" activeCell="F199" sqref="F199"/>
      <rowBreaks count="10" manualBreakCount="10">
        <brk id="215" max="8" man="1"/>
        <brk id="269" max="8" man="1"/>
        <brk id="348" max="8" man="1"/>
        <brk id="427" max="8" man="1"/>
        <brk id="455" max="8" man="1"/>
        <brk id="535" max="8" man="1"/>
        <brk id="556" max="8" man="1"/>
        <brk id="582" max="8" man="1"/>
        <brk id="650" max="8" man="1"/>
        <brk id="713" max="8" man="1"/>
      </rowBreaks>
      <pageMargins left="0.5" right="0.5" top="0.5" bottom="0.5" header="0.25" footer="0.25"/>
      <pageSetup scale="52" fitToHeight="14" orientation="portrait" r:id="rId1"/>
      <headerFooter alignWithMargins="0">
        <oddHeader>&amp;LYEAR 2006 FINAL BUDGET&amp;C&amp;"Arial,Bold"EXHIBIT "A"&amp;RPAGE: &amp;P OF &amp;N</oddHeader>
        <oddFooter>&amp;L&amp;"Arial,Bold"COMMISSION MEETING DECEMBER 6, 2005&amp;RPrinted 10/28/2005 1:37 PM</oddFooter>
      </headerFooter>
    </customSheetView>
  </customSheetViews>
  <mergeCells count="1">
    <mergeCell ref="C179:E179"/>
  </mergeCells>
  <phoneticPr fontId="0" type="noConversion"/>
  <printOptions horizontalCentered="1"/>
  <pageMargins left="0.5" right="0.5" top="0.74" bottom="0.71" header="0.41" footer="0.49"/>
  <pageSetup scale="61" fitToHeight="14" orientation="portrait" r:id="rId2"/>
  <headerFooter alignWithMargins="0">
    <oddHeader>&amp;LYEAR 2016 FINAL BUDGET&amp;C&amp;"Arial,Bold"EXHIBIT "A"&amp;RPAGE: &amp;P OF &amp;N</oddHeader>
    <oddFooter>&amp;L&amp;"Arial,Bold"COMMISSION MEETING DECEMBER 22, 2015</oddFooter>
  </headerFooter>
  <rowBreaks count="12" manualBreakCount="12">
    <brk id="51" max="6" man="1"/>
    <brk id="110" max="6" man="1"/>
    <brk id="178" max="6" man="1"/>
    <brk id="245" max="6" man="1"/>
    <brk id="313" max="6" man="1"/>
    <brk id="376" max="6" man="1"/>
    <brk id="426" max="6" man="1"/>
    <brk id="464" max="6" man="1"/>
    <brk id="502" max="6" man="1"/>
    <brk id="535" max="6" man="1"/>
    <brk id="579" max="6" man="1"/>
    <brk id="6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5" customWidth="1"/>
    <col min="5" max="5" width="15.42578125" customWidth="1"/>
  </cols>
  <sheetData>
    <row r="1" spans="1:5" ht="19.5" x14ac:dyDescent="0.4">
      <c r="A1" s="18"/>
      <c r="B1" s="2" t="s">
        <v>235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 s="43"/>
      <c r="D4" s="43"/>
    </row>
    <row r="5" spans="1:5" ht="15.75" x14ac:dyDescent="0.25">
      <c r="A5" s="6" t="s">
        <v>126</v>
      </c>
      <c r="B5" s="7" t="s">
        <v>127</v>
      </c>
      <c r="C5" s="44">
        <v>1960794.43</v>
      </c>
      <c r="D5" s="44">
        <v>2007973</v>
      </c>
      <c r="E5" s="44">
        <v>1977000</v>
      </c>
    </row>
    <row r="6" spans="1:5" ht="15.75" x14ac:dyDescent="0.25">
      <c r="A6" s="6" t="s">
        <v>114</v>
      </c>
      <c r="B6" s="16" t="s">
        <v>122</v>
      </c>
      <c r="C6" s="44">
        <v>806163</v>
      </c>
      <c r="D6" s="44">
        <v>743088</v>
      </c>
      <c r="E6" s="44">
        <v>740000</v>
      </c>
    </row>
    <row r="7" spans="1:5" ht="15.75" x14ac:dyDescent="0.25">
      <c r="A7" s="6" t="s">
        <v>118</v>
      </c>
      <c r="B7" s="16" t="s">
        <v>119</v>
      </c>
      <c r="C7" s="41">
        <v>7704.86</v>
      </c>
      <c r="D7" s="41">
        <v>8000</v>
      </c>
      <c r="E7" s="41">
        <v>8000</v>
      </c>
    </row>
    <row r="8" spans="1:5" ht="16.5" thickBot="1" x14ac:dyDescent="0.3">
      <c r="A8" s="11" t="s">
        <v>226</v>
      </c>
      <c r="B8" s="7" t="s">
        <v>108</v>
      </c>
      <c r="C8" s="41">
        <v>0</v>
      </c>
      <c r="D8" s="41">
        <v>85439</v>
      </c>
      <c r="E8" s="41">
        <v>227500</v>
      </c>
    </row>
    <row r="9" spans="1:5" ht="17.25" thickTop="1" thickBot="1" x14ac:dyDescent="0.3">
      <c r="A9" s="6"/>
      <c r="B9" s="17" t="s">
        <v>6</v>
      </c>
      <c r="C9" s="42">
        <f>SUM(C5:C8)</f>
        <v>2774662.2899999996</v>
      </c>
      <c r="D9" s="42">
        <f>SUM(D5:D8)</f>
        <v>2844500</v>
      </c>
      <c r="E9" s="42">
        <v>2952500</v>
      </c>
    </row>
    <row r="10" spans="1:5" ht="16.5" thickTop="1" x14ac:dyDescent="0.25">
      <c r="A10" s="6"/>
      <c r="B10" s="10"/>
      <c r="C10" s="43"/>
      <c r="D10" s="43"/>
      <c r="E10" s="43"/>
    </row>
    <row r="11" spans="1:5" ht="15.75" x14ac:dyDescent="0.25">
      <c r="A11" s="6"/>
      <c r="B11" s="10" t="s">
        <v>7</v>
      </c>
      <c r="C11" s="43"/>
      <c r="D11" s="43"/>
      <c r="E11" s="43"/>
    </row>
    <row r="12" spans="1:5" ht="15.75" x14ac:dyDescent="0.25">
      <c r="A12" s="11" t="s">
        <v>258</v>
      </c>
      <c r="B12" s="7" t="s">
        <v>255</v>
      </c>
      <c r="C12" s="44">
        <v>38.6</v>
      </c>
      <c r="D12" s="44">
        <v>500</v>
      </c>
      <c r="E12" s="44">
        <v>500</v>
      </c>
    </row>
    <row r="13" spans="1:5" ht="15.75" x14ac:dyDescent="0.25">
      <c r="A13" s="6" t="s">
        <v>62</v>
      </c>
      <c r="B13" s="7" t="s">
        <v>227</v>
      </c>
      <c r="C13" s="44">
        <v>2596500</v>
      </c>
      <c r="D13" s="44">
        <v>2844000</v>
      </c>
      <c r="E13" s="44">
        <v>2952000</v>
      </c>
    </row>
    <row r="14" spans="1:5" ht="16.5" thickBot="1" x14ac:dyDescent="0.3">
      <c r="A14" s="6" t="s">
        <v>311</v>
      </c>
      <c r="B14" s="7" t="s">
        <v>233</v>
      </c>
      <c r="C14" s="44">
        <f>C9-C12-C13</f>
        <v>178123.68999999948</v>
      </c>
      <c r="D14" s="44">
        <v>0</v>
      </c>
      <c r="E14" s="44">
        <v>0</v>
      </c>
    </row>
    <row r="15" spans="1:5" ht="17.25" thickTop="1" thickBot="1" x14ac:dyDescent="0.3">
      <c r="A15" s="6"/>
      <c r="B15" s="17" t="s">
        <v>50</v>
      </c>
      <c r="C15" s="52">
        <f>SUM(C12:C14)</f>
        <v>2774662.2899999996</v>
      </c>
      <c r="D15" s="52">
        <f>SUM(D12:D14)</f>
        <v>2844500</v>
      </c>
      <c r="E15" s="52">
        <v>2952500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2016 FINAL BUDGET&amp;C&amp;"Arial,Bold"EXHIBIT "A"&amp;RPAGE: &amp;P OF &amp;N</oddHeader>
    <oddFooter>&amp;L&amp;"Arial,Bold"BOARD OF TRUSTEES MEETING DECEMBER 8,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0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5" customWidth="1"/>
    <col min="5" max="5" width="15.42578125" customWidth="1"/>
  </cols>
  <sheetData>
    <row r="1" spans="1:5" ht="19.5" x14ac:dyDescent="0.4">
      <c r="A1" s="18"/>
      <c r="B1" s="2" t="s">
        <v>234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 s="43"/>
      <c r="D4" s="43"/>
    </row>
    <row r="5" spans="1:5" ht="15.75" x14ac:dyDescent="0.25">
      <c r="A5" s="6" t="s">
        <v>126</v>
      </c>
      <c r="B5" s="7" t="s">
        <v>185</v>
      </c>
      <c r="C5" s="44">
        <v>623272.42000000004</v>
      </c>
      <c r="D5" s="44">
        <v>605773</v>
      </c>
      <c r="E5" s="44">
        <v>599000</v>
      </c>
    </row>
    <row r="6" spans="1:5" ht="15.75" x14ac:dyDescent="0.25">
      <c r="A6" s="6" t="s">
        <v>366</v>
      </c>
      <c r="B6" s="7" t="s">
        <v>367</v>
      </c>
      <c r="C6" s="44">
        <v>21000</v>
      </c>
      <c r="D6" s="44">
        <v>26131</v>
      </c>
      <c r="E6" s="44">
        <v>19400</v>
      </c>
    </row>
    <row r="7" spans="1:5" ht="15.75" x14ac:dyDescent="0.25">
      <c r="A7" s="6" t="s">
        <v>116</v>
      </c>
      <c r="B7" s="7" t="s">
        <v>117</v>
      </c>
      <c r="C7" s="44">
        <v>26834</v>
      </c>
      <c r="D7" s="44">
        <v>29149</v>
      </c>
      <c r="E7" s="44">
        <v>26500</v>
      </c>
    </row>
    <row r="8" spans="1:5" ht="15.75" x14ac:dyDescent="0.25">
      <c r="A8" s="6" t="s">
        <v>118</v>
      </c>
      <c r="B8" s="16" t="s">
        <v>119</v>
      </c>
      <c r="C8" s="44">
        <v>20073.490000000002</v>
      </c>
      <c r="D8" s="44">
        <v>8447</v>
      </c>
      <c r="E8" s="44">
        <v>5000</v>
      </c>
    </row>
    <row r="9" spans="1:5" ht="15.75" x14ac:dyDescent="0.25">
      <c r="A9" s="11" t="s">
        <v>105</v>
      </c>
      <c r="B9" s="7" t="s">
        <v>228</v>
      </c>
      <c r="C9" s="44">
        <v>250000</v>
      </c>
      <c r="D9" s="44">
        <v>250000</v>
      </c>
      <c r="E9" s="44">
        <v>250000</v>
      </c>
    </row>
    <row r="10" spans="1:5" ht="16.5" thickBot="1" x14ac:dyDescent="0.3">
      <c r="A10" s="11" t="s">
        <v>226</v>
      </c>
      <c r="B10" s="7" t="s">
        <v>108</v>
      </c>
      <c r="C10" s="44">
        <v>0</v>
      </c>
      <c r="D10" s="44">
        <v>0</v>
      </c>
      <c r="E10" s="44">
        <v>59122</v>
      </c>
    </row>
    <row r="11" spans="1:5" ht="17.25" thickTop="1" thickBot="1" x14ac:dyDescent="0.3">
      <c r="A11" s="6"/>
      <c r="B11" s="17" t="s">
        <v>6</v>
      </c>
      <c r="C11" s="42">
        <f>SUM(C5:C10)</f>
        <v>941179.91</v>
      </c>
      <c r="D11" s="42">
        <f>SUM(D5:D10)</f>
        <v>919500</v>
      </c>
      <c r="E11" s="42">
        <v>959022</v>
      </c>
    </row>
    <row r="12" spans="1:5" ht="16.5" thickTop="1" x14ac:dyDescent="0.25">
      <c r="A12" s="6"/>
      <c r="B12" s="10"/>
      <c r="C12" s="43"/>
      <c r="D12" s="43"/>
      <c r="E12" s="43"/>
    </row>
    <row r="13" spans="1:5" ht="15.75" x14ac:dyDescent="0.25">
      <c r="A13" s="6"/>
      <c r="B13" s="10" t="s">
        <v>7</v>
      </c>
      <c r="C13" s="43"/>
      <c r="D13" s="43"/>
      <c r="E13" s="43"/>
    </row>
    <row r="14" spans="1:5" ht="15.75" x14ac:dyDescent="0.25">
      <c r="A14" s="11" t="s">
        <v>229</v>
      </c>
      <c r="B14" s="7" t="s">
        <v>231</v>
      </c>
      <c r="C14" s="44">
        <v>144205.92000000001</v>
      </c>
      <c r="D14" s="44">
        <v>191171</v>
      </c>
      <c r="E14" s="44">
        <v>205907</v>
      </c>
    </row>
    <row r="15" spans="1:5" ht="15.75" x14ac:dyDescent="0.25">
      <c r="A15" s="11" t="s">
        <v>63</v>
      </c>
      <c r="B15" s="7" t="s">
        <v>255</v>
      </c>
      <c r="C15" s="44">
        <v>64373.87</v>
      </c>
      <c r="D15" s="44">
        <v>69940</v>
      </c>
      <c r="E15" s="44">
        <v>75115</v>
      </c>
    </row>
    <row r="16" spans="1:5" ht="15.75" x14ac:dyDescent="0.25">
      <c r="A16" s="11" t="s">
        <v>230</v>
      </c>
      <c r="B16" s="16" t="s">
        <v>232</v>
      </c>
      <c r="C16" s="44">
        <v>0</v>
      </c>
      <c r="D16" s="44">
        <v>0</v>
      </c>
      <c r="E16" s="44">
        <v>0</v>
      </c>
    </row>
    <row r="17" spans="1:5" ht="15.75" x14ac:dyDescent="0.25">
      <c r="A17" s="6" t="s">
        <v>173</v>
      </c>
      <c r="B17" s="16" t="s">
        <v>233</v>
      </c>
      <c r="C17" s="44">
        <f>C11-C14-C15-C18</f>
        <v>148433.29000000004</v>
      </c>
      <c r="D17" s="44">
        <v>28389</v>
      </c>
      <c r="E17" s="44">
        <v>28000</v>
      </c>
    </row>
    <row r="18" spans="1:5" ht="16.5" thickBot="1" x14ac:dyDescent="0.3">
      <c r="A18" s="67" t="s">
        <v>458</v>
      </c>
      <c r="B18" s="66" t="s">
        <v>459</v>
      </c>
      <c r="C18" s="44">
        <v>584166.82999999996</v>
      </c>
      <c r="D18" s="44">
        <v>630000</v>
      </c>
      <c r="E18" s="44">
        <v>650000</v>
      </c>
    </row>
    <row r="19" spans="1:5" ht="17.25" thickTop="1" thickBot="1" x14ac:dyDescent="0.3">
      <c r="A19" s="6"/>
      <c r="B19" s="17" t="s">
        <v>50</v>
      </c>
      <c r="C19" s="45">
        <f>SUM(C14:C18)</f>
        <v>941179.91</v>
      </c>
      <c r="D19" s="45">
        <f>SUM(D14:D18)</f>
        <v>919500</v>
      </c>
      <c r="E19" s="45">
        <v>959022</v>
      </c>
    </row>
    <row r="20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2016 FINAL BUDGET&amp;C&amp;"Arial,Bold"EXHIBIT "A"&amp;RPAGE: &amp;P OF &amp;N</oddHeader>
    <oddFooter>&amp;L&amp;"Arial,Bold"BOARD OF TRUSTEES MEETING DECEMBER 15, 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5" customWidth="1"/>
    <col min="5" max="5" width="15.42578125" customWidth="1"/>
  </cols>
  <sheetData>
    <row r="1" spans="1:5" ht="19.5" x14ac:dyDescent="0.4">
      <c r="A1" s="18"/>
      <c r="B1" s="2" t="s">
        <v>236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 s="43"/>
      <c r="D4" s="43"/>
    </row>
    <row r="5" spans="1:5" ht="15.75" x14ac:dyDescent="0.25">
      <c r="A5" s="6" t="s">
        <v>126</v>
      </c>
      <c r="B5" s="7" t="s">
        <v>185</v>
      </c>
      <c r="C5" s="44">
        <v>443165.79</v>
      </c>
      <c r="D5" s="44">
        <v>475500</v>
      </c>
      <c r="E5" s="44">
        <v>398000</v>
      </c>
    </row>
    <row r="6" spans="1:5" ht="15.75" x14ac:dyDescent="0.25">
      <c r="A6" s="6" t="s">
        <v>114</v>
      </c>
      <c r="B6" s="16" t="s">
        <v>122</v>
      </c>
      <c r="C6" s="44">
        <v>180827</v>
      </c>
      <c r="D6" s="44">
        <v>164072</v>
      </c>
      <c r="E6" s="44">
        <v>160000</v>
      </c>
    </row>
    <row r="7" spans="1:5" ht="15.75" x14ac:dyDescent="0.25">
      <c r="A7" s="6" t="s">
        <v>118</v>
      </c>
      <c r="B7" s="16" t="s">
        <v>119</v>
      </c>
      <c r="C7" s="44">
        <v>11812.15</v>
      </c>
      <c r="D7" s="44">
        <v>11000</v>
      </c>
      <c r="E7" s="44">
        <v>10000</v>
      </c>
    </row>
    <row r="8" spans="1:5" ht="16.5" thickBot="1" x14ac:dyDescent="0.3">
      <c r="A8" s="11" t="s">
        <v>226</v>
      </c>
      <c r="B8" s="7" t="s">
        <v>108</v>
      </c>
      <c r="C8" s="41">
        <v>0</v>
      </c>
      <c r="D8" s="41">
        <v>66048</v>
      </c>
      <c r="E8" s="41">
        <v>648283</v>
      </c>
    </row>
    <row r="9" spans="1:5" ht="17.25" thickTop="1" thickBot="1" x14ac:dyDescent="0.3">
      <c r="A9" s="6"/>
      <c r="B9" s="17" t="s">
        <v>6</v>
      </c>
      <c r="C9" s="42">
        <f>SUM(C5:C8)</f>
        <v>635804.94000000006</v>
      </c>
      <c r="D9" s="42">
        <f>SUM(D5:D8)</f>
        <v>716620</v>
      </c>
      <c r="E9" s="42">
        <v>1216283</v>
      </c>
    </row>
    <row r="10" spans="1:5" ht="16.5" thickTop="1" x14ac:dyDescent="0.25">
      <c r="A10" s="6"/>
      <c r="B10" s="10"/>
      <c r="C10" s="43"/>
      <c r="D10" s="43"/>
      <c r="E10" s="43"/>
    </row>
    <row r="11" spans="1:5" ht="15.75" x14ac:dyDescent="0.25">
      <c r="A11" s="6"/>
      <c r="B11" s="10" t="s">
        <v>7</v>
      </c>
      <c r="C11" s="43"/>
      <c r="D11" s="43"/>
      <c r="E11" s="43"/>
    </row>
    <row r="12" spans="1:5" ht="15.75" x14ac:dyDescent="0.25">
      <c r="A12" s="11" t="s">
        <v>257</v>
      </c>
      <c r="B12" s="7" t="s">
        <v>255</v>
      </c>
      <c r="C12" s="44">
        <v>37.549999999999997</v>
      </c>
      <c r="D12" s="44">
        <v>100</v>
      </c>
      <c r="E12" s="44">
        <v>500</v>
      </c>
    </row>
    <row r="13" spans="1:5" ht="15.75" x14ac:dyDescent="0.25">
      <c r="A13" s="6" t="s">
        <v>64</v>
      </c>
      <c r="B13" s="7" t="s">
        <v>237</v>
      </c>
      <c r="C13" s="44">
        <v>435104.7</v>
      </c>
      <c r="D13" s="44">
        <v>666520</v>
      </c>
      <c r="E13" s="44">
        <v>715783</v>
      </c>
    </row>
    <row r="14" spans="1:5" ht="16.5" thickBot="1" x14ac:dyDescent="0.3">
      <c r="A14" s="6" t="s">
        <v>219</v>
      </c>
      <c r="B14" s="16" t="s">
        <v>233</v>
      </c>
      <c r="C14" s="44">
        <f>C9-C12-C13</f>
        <v>200662.69</v>
      </c>
      <c r="D14" s="44">
        <v>50000</v>
      </c>
      <c r="E14" s="44">
        <v>500000</v>
      </c>
    </row>
    <row r="15" spans="1:5" ht="17.25" thickTop="1" thickBot="1" x14ac:dyDescent="0.3">
      <c r="A15" s="6"/>
      <c r="B15" s="17" t="s">
        <v>50</v>
      </c>
      <c r="C15" s="42">
        <f>SUM(C12:C14)</f>
        <v>635804.93999999994</v>
      </c>
      <c r="D15" s="42">
        <f>SUM(D12:D14)</f>
        <v>716620</v>
      </c>
      <c r="E15" s="42">
        <v>1216283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2016 FINAL BUDGET&amp;C&amp;"Arial,Bold"EXHIBIT "A"&amp;RPAGE: &amp;P OF &amp;N</oddHeader>
    <oddFooter>&amp;L&amp;"Arial,Bold"BOARD OF TRUSTEES MEETING DECEMBER 15,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60.28515625" style="5" bestFit="1" customWidth="1"/>
    <col min="3" max="4" width="15.42578125" style="35" customWidth="1"/>
    <col min="5" max="5" width="15.42578125" customWidth="1"/>
  </cols>
  <sheetData>
    <row r="1" spans="1:5" ht="19.5" x14ac:dyDescent="0.4">
      <c r="A1" s="18"/>
      <c r="B1" s="2" t="s">
        <v>238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 s="43"/>
      <c r="D4" s="43"/>
    </row>
    <row r="5" spans="1:5" ht="15.75" x14ac:dyDescent="0.25">
      <c r="A5" s="6" t="s">
        <v>126</v>
      </c>
      <c r="B5" s="7" t="s">
        <v>185</v>
      </c>
      <c r="C5" s="44">
        <v>91511.16</v>
      </c>
      <c r="D5" s="44">
        <v>106500</v>
      </c>
      <c r="E5" s="44">
        <v>95000</v>
      </c>
    </row>
    <row r="6" spans="1:5" ht="15.75" x14ac:dyDescent="0.25">
      <c r="A6" s="6" t="s">
        <v>114</v>
      </c>
      <c r="B6" s="16" t="s">
        <v>122</v>
      </c>
      <c r="C6" s="44">
        <v>81176</v>
      </c>
      <c r="D6" s="44">
        <v>75685</v>
      </c>
      <c r="E6" s="44">
        <v>70000</v>
      </c>
    </row>
    <row r="7" spans="1:5" ht="15.75" x14ac:dyDescent="0.25">
      <c r="A7" s="6" t="s">
        <v>118</v>
      </c>
      <c r="B7" s="16" t="s">
        <v>119</v>
      </c>
      <c r="C7" s="44">
        <v>3560.37</v>
      </c>
      <c r="D7" s="44">
        <v>4000</v>
      </c>
      <c r="E7" s="44">
        <v>4000</v>
      </c>
    </row>
    <row r="8" spans="1:5" ht="16.5" thickBot="1" x14ac:dyDescent="0.3">
      <c r="A8" s="11" t="s">
        <v>226</v>
      </c>
      <c r="B8" s="7" t="s">
        <v>108</v>
      </c>
      <c r="C8" s="44">
        <f>C15-C5-C6-C7</f>
        <v>73791.070000000007</v>
      </c>
      <c r="D8" s="44">
        <v>69315</v>
      </c>
      <c r="E8" s="44">
        <v>86500</v>
      </c>
    </row>
    <row r="9" spans="1:5" ht="17.25" thickTop="1" thickBot="1" x14ac:dyDescent="0.3">
      <c r="A9" s="6"/>
      <c r="B9" s="17" t="s">
        <v>6</v>
      </c>
      <c r="C9" s="42">
        <f>SUM(C5:C8)</f>
        <v>250038.6</v>
      </c>
      <c r="D9" s="42">
        <f>SUM(D5:D8)</f>
        <v>255500</v>
      </c>
      <c r="E9" s="42">
        <v>255500</v>
      </c>
    </row>
    <row r="10" spans="1:5" ht="16.5" thickTop="1" x14ac:dyDescent="0.25">
      <c r="A10" s="6"/>
      <c r="B10" s="10"/>
      <c r="C10" s="43"/>
      <c r="D10" s="43"/>
      <c r="E10" s="43"/>
    </row>
    <row r="11" spans="1:5" ht="15.75" x14ac:dyDescent="0.25">
      <c r="A11" s="6"/>
      <c r="B11" s="10" t="s">
        <v>7</v>
      </c>
      <c r="C11" s="43"/>
      <c r="D11" s="43"/>
      <c r="E11" s="43"/>
    </row>
    <row r="12" spans="1:5" ht="15.75" x14ac:dyDescent="0.25">
      <c r="A12" s="11" t="s">
        <v>254</v>
      </c>
      <c r="B12" s="7" t="s">
        <v>255</v>
      </c>
      <c r="C12" s="41">
        <v>38.6</v>
      </c>
      <c r="D12" s="41">
        <v>500</v>
      </c>
      <c r="E12" s="41">
        <v>500</v>
      </c>
    </row>
    <row r="13" spans="1:5" ht="15.75" x14ac:dyDescent="0.25">
      <c r="A13" s="6" t="s">
        <v>65</v>
      </c>
      <c r="B13" s="7" t="s">
        <v>239</v>
      </c>
      <c r="C13" s="44">
        <v>250000</v>
      </c>
      <c r="D13" s="44">
        <v>250000</v>
      </c>
      <c r="E13" s="44">
        <v>250000</v>
      </c>
    </row>
    <row r="14" spans="1:5" ht="16.5" thickBot="1" x14ac:dyDescent="0.3">
      <c r="A14" s="6" t="s">
        <v>256</v>
      </c>
      <c r="B14" s="22" t="s">
        <v>233</v>
      </c>
      <c r="C14" s="44">
        <v>0</v>
      </c>
      <c r="D14" s="44">
        <v>5000</v>
      </c>
      <c r="E14" s="44">
        <v>5000</v>
      </c>
    </row>
    <row r="15" spans="1:5" ht="17.25" thickTop="1" thickBot="1" x14ac:dyDescent="0.3">
      <c r="A15" s="6"/>
      <c r="B15" s="17" t="s">
        <v>50</v>
      </c>
      <c r="C15" s="42">
        <f>SUM(C12:C14)</f>
        <v>250038.6</v>
      </c>
      <c r="D15" s="42">
        <f>SUM(D12:D14)</f>
        <v>255500</v>
      </c>
      <c r="E15" s="42">
        <v>255500</v>
      </c>
    </row>
    <row r="16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4" orientation="portrait" r:id="rId1"/>
  <headerFooter alignWithMargins="0">
    <oddHeader>&amp;LYEAR 2016 FINAL BUDGET&amp;C&amp;"Arial,Bold"EXHIBIT "A"&amp;RPAGE: &amp;P OF &amp;N</oddHeader>
    <oddFooter>&amp;L&amp;"Arial,Bold"BOARD OF TRUSTEES MEETING DECEMBER 8,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4.5703125" style="5" bestFit="1" customWidth="1"/>
    <col min="2" max="2" width="60.28515625" style="5" bestFit="1" customWidth="1"/>
    <col min="3" max="6" width="13.42578125" style="35" customWidth="1"/>
  </cols>
  <sheetData>
    <row r="1" spans="1:6" ht="19.5" x14ac:dyDescent="0.4">
      <c r="A1" s="18"/>
      <c r="B1" s="2" t="s">
        <v>243</v>
      </c>
      <c r="C1" s="31">
        <v>2014</v>
      </c>
      <c r="D1" s="31">
        <v>2015</v>
      </c>
      <c r="E1" s="31">
        <v>2016</v>
      </c>
      <c r="F1"/>
    </row>
    <row r="2" spans="1:6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  <c r="F2"/>
    </row>
    <row r="3" spans="1:6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  <c r="F3"/>
    </row>
    <row r="4" spans="1:6" ht="16.5" thickTop="1" x14ac:dyDescent="0.25">
      <c r="A4" s="6"/>
      <c r="B4" s="10" t="s">
        <v>2</v>
      </c>
      <c r="C4" s="43"/>
      <c r="D4" s="43"/>
      <c r="E4" s="43"/>
      <c r="F4"/>
    </row>
    <row r="5" spans="1:6" ht="15.75" x14ac:dyDescent="0.25">
      <c r="A5" s="6" t="s">
        <v>126</v>
      </c>
      <c r="B5" s="53" t="s">
        <v>127</v>
      </c>
      <c r="C5" s="44">
        <v>17932.28</v>
      </c>
      <c r="D5" s="44">
        <v>17522</v>
      </c>
      <c r="E5" s="44">
        <v>19000</v>
      </c>
      <c r="F5"/>
    </row>
    <row r="6" spans="1:6" ht="15.75" x14ac:dyDescent="0.25">
      <c r="A6" s="6" t="s">
        <v>116</v>
      </c>
      <c r="B6" s="7" t="s">
        <v>117</v>
      </c>
      <c r="C6" s="44">
        <v>13771.5</v>
      </c>
      <c r="D6" s="44">
        <v>17978</v>
      </c>
      <c r="E6" s="44">
        <v>25500</v>
      </c>
      <c r="F6"/>
    </row>
    <row r="7" spans="1:6" ht="15.75" x14ac:dyDescent="0.25">
      <c r="A7" s="6" t="s">
        <v>118</v>
      </c>
      <c r="B7" s="16" t="s">
        <v>119</v>
      </c>
      <c r="C7" s="44">
        <v>0</v>
      </c>
      <c r="D7" s="44">
        <v>0</v>
      </c>
      <c r="E7" s="44">
        <v>0</v>
      </c>
      <c r="F7"/>
    </row>
    <row r="8" spans="1:6" ht="15.75" x14ac:dyDescent="0.25">
      <c r="A8" s="67" t="s">
        <v>118</v>
      </c>
      <c r="B8" s="66" t="s">
        <v>500</v>
      </c>
      <c r="C8" s="44">
        <v>0</v>
      </c>
      <c r="D8" s="44">
        <v>0</v>
      </c>
      <c r="E8" s="44">
        <v>0</v>
      </c>
      <c r="F8"/>
    </row>
    <row r="9" spans="1:6" ht="16.5" thickBot="1" x14ac:dyDescent="0.3">
      <c r="A9" s="11" t="s">
        <v>226</v>
      </c>
      <c r="B9" s="7" t="s">
        <v>108</v>
      </c>
      <c r="C9" s="44">
        <f>C18-C6-C5</f>
        <v>4526.0200000000041</v>
      </c>
      <c r="D9" s="44">
        <v>0</v>
      </c>
      <c r="E9" s="44">
        <v>0</v>
      </c>
      <c r="F9"/>
    </row>
    <row r="10" spans="1:6" ht="17.25" thickTop="1" thickBot="1" x14ac:dyDescent="0.3">
      <c r="A10" s="6"/>
      <c r="B10" s="23" t="s">
        <v>6</v>
      </c>
      <c r="C10" s="45">
        <f>SUM(C5:C9)</f>
        <v>36229.800000000003</v>
      </c>
      <c r="D10" s="45">
        <f>SUM(D5:D9)</f>
        <v>35500</v>
      </c>
      <c r="E10" s="45">
        <v>44500</v>
      </c>
      <c r="F10"/>
    </row>
    <row r="11" spans="1:6" ht="16.5" thickTop="1" x14ac:dyDescent="0.25">
      <c r="A11" s="6"/>
      <c r="B11" s="54"/>
      <c r="C11" s="46"/>
      <c r="D11" s="46"/>
      <c r="E11" s="46"/>
      <c r="F11"/>
    </row>
    <row r="12" spans="1:6" ht="15.75" x14ac:dyDescent="0.25">
      <c r="A12" s="11" t="s">
        <v>441</v>
      </c>
      <c r="B12" s="7" t="s">
        <v>231</v>
      </c>
      <c r="C12" s="44">
        <v>10468.969999999999</v>
      </c>
      <c r="D12" s="44">
        <v>18231</v>
      </c>
      <c r="E12" s="44">
        <v>10000</v>
      </c>
      <c r="F12"/>
    </row>
    <row r="13" spans="1:6" ht="15.75" x14ac:dyDescent="0.25">
      <c r="A13" s="11" t="s">
        <v>244</v>
      </c>
      <c r="B13" s="7" t="s">
        <v>255</v>
      </c>
      <c r="C13" s="44">
        <v>25760.83</v>
      </c>
      <c r="D13" s="44">
        <v>26195</v>
      </c>
      <c r="E13" s="44">
        <v>18000</v>
      </c>
      <c r="F13"/>
    </row>
    <row r="14" spans="1:6" ht="15.75" x14ac:dyDescent="0.25">
      <c r="A14" s="71" t="s">
        <v>496</v>
      </c>
      <c r="B14" s="65" t="s">
        <v>497</v>
      </c>
      <c r="C14" s="44">
        <v>0</v>
      </c>
      <c r="D14" s="44">
        <v>0</v>
      </c>
      <c r="E14" s="44">
        <v>400</v>
      </c>
      <c r="F14"/>
    </row>
    <row r="15" spans="1:6" ht="15.75" x14ac:dyDescent="0.25">
      <c r="A15" s="11" t="s">
        <v>442</v>
      </c>
      <c r="B15" s="7" t="s">
        <v>232</v>
      </c>
      <c r="C15" s="44">
        <v>0</v>
      </c>
      <c r="D15" s="44">
        <v>0</v>
      </c>
      <c r="E15" s="44">
        <v>0</v>
      </c>
      <c r="F15"/>
    </row>
    <row r="16" spans="1:6" ht="15.75" x14ac:dyDescent="0.25">
      <c r="A16" s="11" t="s">
        <v>279</v>
      </c>
      <c r="B16" s="7" t="s">
        <v>233</v>
      </c>
      <c r="C16" s="44">
        <v>0</v>
      </c>
      <c r="D16" s="44">
        <v>-8926</v>
      </c>
      <c r="E16" s="44">
        <v>10600</v>
      </c>
      <c r="F16"/>
    </row>
    <row r="17" spans="1:6" ht="16.5" thickBot="1" x14ac:dyDescent="0.3">
      <c r="A17" s="71" t="s">
        <v>498</v>
      </c>
      <c r="B17" s="53" t="s">
        <v>499</v>
      </c>
      <c r="C17" s="44">
        <v>0</v>
      </c>
      <c r="D17" s="44">
        <v>0</v>
      </c>
      <c r="E17" s="44">
        <v>5500</v>
      </c>
      <c r="F17"/>
    </row>
    <row r="18" spans="1:6" ht="17.25" thickTop="1" thickBot="1" x14ac:dyDescent="0.3">
      <c r="A18" s="11"/>
      <c r="B18" s="23" t="s">
        <v>50</v>
      </c>
      <c r="C18" s="51">
        <f>SUM(C12:C17)</f>
        <v>36229.800000000003</v>
      </c>
      <c r="D18" s="51">
        <f>SUM(D12:D17)</f>
        <v>35500</v>
      </c>
      <c r="E18" s="51">
        <v>44500</v>
      </c>
      <c r="F18"/>
    </row>
    <row r="19" spans="1:6" ht="16.5" thickTop="1" x14ac:dyDescent="0.25">
      <c r="A19" s="11"/>
      <c r="B19" s="54"/>
      <c r="C19" s="43"/>
      <c r="D19" s="43"/>
      <c r="E19" s="43"/>
      <c r="F19" s="43"/>
    </row>
    <row r="26" spans="1:6" x14ac:dyDescent="0.2">
      <c r="C26" s="72"/>
    </row>
    <row r="27" spans="1:6" x14ac:dyDescent="0.2">
      <c r="D27"/>
      <c r="E27"/>
      <c r="F27"/>
    </row>
    <row r="28" spans="1:6" x14ac:dyDescent="0.2">
      <c r="D28"/>
      <c r="E28"/>
      <c r="F28"/>
    </row>
    <row r="29" spans="1:6" x14ac:dyDescent="0.2">
      <c r="D29"/>
      <c r="E29"/>
      <c r="F29"/>
    </row>
    <row r="30" spans="1:6" x14ac:dyDescent="0.2">
      <c r="D30"/>
      <c r="E30"/>
      <c r="F30"/>
    </row>
    <row r="31" spans="1:6" x14ac:dyDescent="0.2">
      <c r="D31"/>
      <c r="E31"/>
      <c r="F31"/>
    </row>
    <row r="32" spans="1:6" x14ac:dyDescent="0.2">
      <c r="D32"/>
      <c r="E32"/>
      <c r="F32"/>
    </row>
    <row r="33" spans="4:6" x14ac:dyDescent="0.2">
      <c r="D33"/>
      <c r="E33"/>
      <c r="F33"/>
    </row>
    <row r="34" spans="4:6" x14ac:dyDescent="0.2">
      <c r="D34"/>
      <c r="E34"/>
      <c r="F34"/>
    </row>
    <row r="35" spans="4:6" x14ac:dyDescent="0.2">
      <c r="D35"/>
      <c r="E35"/>
      <c r="F35"/>
    </row>
    <row r="36" spans="4:6" x14ac:dyDescent="0.2">
      <c r="D36"/>
      <c r="E36"/>
      <c r="F36"/>
    </row>
    <row r="37" spans="4:6" x14ac:dyDescent="0.2">
      <c r="D37"/>
      <c r="E37"/>
      <c r="F37"/>
    </row>
  </sheetData>
  <sheetProtection insertRows="0" deleteRows="0"/>
  <phoneticPr fontId="0" type="noConversion"/>
  <pageMargins left="0.75" right="0.75" top="1" bottom="1" header="0.5" footer="0.5"/>
  <pageSetup scale="64" fitToHeight="2" orientation="portrait" r:id="rId1"/>
  <headerFooter alignWithMargins="0">
    <oddHeader>&amp;LYEAR 2016 FINAL BUDGET&amp;C&amp;"Arial,Bold"EXHIBIT "A"&amp;RPAGE: &amp;P OF &amp;N</oddHeader>
    <oddFooter>&amp;L&amp;"Arial,Bold"BOARD MEETING NOVEMBER 18,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7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7109375" style="5" bestFit="1" customWidth="1"/>
    <col min="3" max="4" width="15.42578125" style="28" customWidth="1"/>
    <col min="5" max="5" width="15.42578125" customWidth="1"/>
  </cols>
  <sheetData>
    <row r="1" spans="1:5" ht="19.5" x14ac:dyDescent="0.4">
      <c r="A1" s="18"/>
      <c r="B1" s="2" t="s">
        <v>529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495</v>
      </c>
      <c r="C2" s="32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20"/>
      <c r="C3" s="33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/>
      <c r="D4"/>
    </row>
    <row r="5" spans="1:5" ht="15.75" x14ac:dyDescent="0.25">
      <c r="A5" s="6" t="s">
        <v>114</v>
      </c>
      <c r="B5" s="16" t="s">
        <v>122</v>
      </c>
      <c r="C5" s="44">
        <v>560491.99</v>
      </c>
      <c r="D5" s="44">
        <v>400000</v>
      </c>
      <c r="E5" s="44">
        <v>623000</v>
      </c>
    </row>
    <row r="6" spans="1:5" ht="15.75" x14ac:dyDescent="0.25">
      <c r="A6" s="6" t="s">
        <v>118</v>
      </c>
      <c r="B6" s="16" t="s">
        <v>119</v>
      </c>
      <c r="C6" s="41">
        <v>2613.54</v>
      </c>
      <c r="D6" s="41">
        <v>3000</v>
      </c>
      <c r="E6" s="41">
        <v>3000</v>
      </c>
    </row>
    <row r="7" spans="1:5" ht="16.5" thickBot="1" x14ac:dyDescent="0.3">
      <c r="A7" s="11" t="s">
        <v>226</v>
      </c>
      <c r="B7" s="7" t="s">
        <v>108</v>
      </c>
      <c r="C7" s="41">
        <f>C16-C5-C6</f>
        <v>55080.919999999962</v>
      </c>
      <c r="D7" s="41">
        <v>250000</v>
      </c>
      <c r="E7" s="41">
        <v>0</v>
      </c>
    </row>
    <row r="8" spans="1:5" ht="17.25" thickTop="1" thickBot="1" x14ac:dyDescent="0.3">
      <c r="A8" s="6"/>
      <c r="B8" s="17" t="s">
        <v>6</v>
      </c>
      <c r="C8" s="42">
        <f>SUM(C5:C7)</f>
        <v>618186.44999999995</v>
      </c>
      <c r="D8" s="42">
        <f>SUM(D5:D7)</f>
        <v>653000</v>
      </c>
      <c r="E8" s="42">
        <v>626000</v>
      </c>
    </row>
    <row r="9" spans="1:5" ht="16.5" thickTop="1" x14ac:dyDescent="0.25">
      <c r="A9" s="6"/>
      <c r="B9" s="10"/>
      <c r="C9" s="43"/>
      <c r="D9" s="43"/>
      <c r="E9" s="43"/>
    </row>
    <row r="10" spans="1:5" ht="15.75" x14ac:dyDescent="0.25">
      <c r="A10" s="6"/>
      <c r="B10" s="10" t="s">
        <v>7</v>
      </c>
      <c r="C10" s="43"/>
      <c r="D10" s="43"/>
      <c r="E10" s="43"/>
    </row>
    <row r="11" spans="1:5" ht="15.75" x14ac:dyDescent="0.25">
      <c r="A11" s="11" t="s">
        <v>395</v>
      </c>
      <c r="B11" s="7" t="s">
        <v>255</v>
      </c>
      <c r="C11" s="44">
        <v>237286.57</v>
      </c>
      <c r="D11" s="44">
        <v>100</v>
      </c>
      <c r="E11" s="44">
        <v>100</v>
      </c>
    </row>
    <row r="12" spans="1:5" ht="15.75" x14ac:dyDescent="0.25">
      <c r="A12" s="6" t="s">
        <v>129</v>
      </c>
      <c r="B12" s="7" t="s">
        <v>251</v>
      </c>
      <c r="C12" s="44">
        <v>380899.88</v>
      </c>
      <c r="D12" s="44">
        <v>0</v>
      </c>
      <c r="E12" s="44">
        <v>0</v>
      </c>
    </row>
    <row r="13" spans="1:5" ht="15.75" x14ac:dyDescent="0.25">
      <c r="A13" s="6" t="s">
        <v>405</v>
      </c>
      <c r="B13" s="7" t="s">
        <v>232</v>
      </c>
      <c r="C13" s="44">
        <v>0</v>
      </c>
      <c r="D13" s="44">
        <v>0</v>
      </c>
      <c r="E13" s="44">
        <v>0</v>
      </c>
    </row>
    <row r="14" spans="1:5" ht="15.75" x14ac:dyDescent="0.25">
      <c r="A14" s="6" t="s">
        <v>250</v>
      </c>
      <c r="B14" s="7" t="s">
        <v>394</v>
      </c>
      <c r="C14" s="44">
        <v>0</v>
      </c>
      <c r="D14" s="44">
        <v>0</v>
      </c>
      <c r="E14" s="44">
        <v>0</v>
      </c>
    </row>
    <row r="15" spans="1:5" ht="16.5" thickBot="1" x14ac:dyDescent="0.3">
      <c r="A15" s="6" t="s">
        <v>316</v>
      </c>
      <c r="B15" s="22" t="s">
        <v>233</v>
      </c>
      <c r="C15" s="44">
        <v>0</v>
      </c>
      <c r="D15" s="44">
        <v>652900</v>
      </c>
      <c r="E15" s="44">
        <v>625900</v>
      </c>
    </row>
    <row r="16" spans="1:5" ht="17.25" thickTop="1" thickBot="1" x14ac:dyDescent="0.3">
      <c r="A16" s="6"/>
      <c r="B16" s="17" t="s">
        <v>50</v>
      </c>
      <c r="C16" s="52">
        <f>SUM(C11:C15)</f>
        <v>618186.44999999995</v>
      </c>
      <c r="D16" s="52">
        <f>SUM(D11:D15)</f>
        <v>653000</v>
      </c>
      <c r="E16" s="52">
        <v>626000</v>
      </c>
    </row>
    <row r="17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2016 FINAL BUDGET&amp;C&amp;"Arial,Bold"EXHIBIT "A"&amp;RPAGE: &amp;P OF &amp;N</oddHeader>
    <oddFooter>&amp;L&amp;"Arial,Bold"ADMINISTRATIVE CONTROL BOARD MEETING DECEMBER 8, 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5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"/>
  <cols>
    <col min="1" max="1" width="15" style="5" bestFit="1" customWidth="1"/>
    <col min="2" max="2" width="55.42578125" style="5" bestFit="1" customWidth="1"/>
    <col min="3" max="3" width="15.42578125" style="35" customWidth="1"/>
    <col min="4" max="4" width="15.42578125" style="28" customWidth="1"/>
    <col min="5" max="5" width="15.42578125" customWidth="1"/>
  </cols>
  <sheetData>
    <row r="1" spans="1:5" ht="19.5" x14ac:dyDescent="0.4">
      <c r="A1" s="18"/>
      <c r="B1" s="2" t="s">
        <v>318</v>
      </c>
      <c r="C1" s="31">
        <v>2014</v>
      </c>
      <c r="D1" s="31">
        <v>2015</v>
      </c>
      <c r="E1" s="31">
        <v>2016</v>
      </c>
    </row>
    <row r="2" spans="1:5" ht="20.25" thickBot="1" x14ac:dyDescent="0.45">
      <c r="B2" s="3" t="s">
        <v>317</v>
      </c>
      <c r="C2" s="49" t="s">
        <v>104</v>
      </c>
      <c r="D2" s="32" t="s">
        <v>1</v>
      </c>
      <c r="E2" s="32" t="s">
        <v>1</v>
      </c>
    </row>
    <row r="3" spans="1:5" ht="21" thickTop="1" thickBot="1" x14ac:dyDescent="0.45">
      <c r="A3" s="1"/>
      <c r="B3" s="3" t="s">
        <v>495</v>
      </c>
      <c r="C3" s="50" t="s">
        <v>104</v>
      </c>
      <c r="D3" s="33" t="s">
        <v>315</v>
      </c>
      <c r="E3" s="33" t="s">
        <v>523</v>
      </c>
    </row>
    <row r="4" spans="1:5" ht="16.5" thickTop="1" x14ac:dyDescent="0.25">
      <c r="A4" s="6"/>
      <c r="B4" s="10" t="s">
        <v>2</v>
      </c>
      <c r="C4" s="43"/>
      <c r="D4"/>
    </row>
    <row r="5" spans="1:5" ht="15.75" x14ac:dyDescent="0.25">
      <c r="A5" s="6" t="s">
        <v>118</v>
      </c>
      <c r="B5" s="7" t="s">
        <v>119</v>
      </c>
      <c r="C5" s="41">
        <v>335831.4</v>
      </c>
      <c r="D5" s="41">
        <v>335832</v>
      </c>
      <c r="E5" s="41">
        <v>335832</v>
      </c>
    </row>
    <row r="6" spans="1:5" ht="15.75" x14ac:dyDescent="0.25">
      <c r="A6" s="11" t="s">
        <v>105</v>
      </c>
      <c r="B6" s="7" t="s">
        <v>404</v>
      </c>
      <c r="C6" s="41">
        <v>52.8</v>
      </c>
      <c r="D6" s="41">
        <v>500</v>
      </c>
      <c r="E6" s="41">
        <v>500</v>
      </c>
    </row>
    <row r="7" spans="1:5" ht="16.5" thickBot="1" x14ac:dyDescent="0.3">
      <c r="A7" s="11" t="s">
        <v>226</v>
      </c>
      <c r="B7" s="7" t="s">
        <v>108</v>
      </c>
      <c r="C7" s="41">
        <v>0</v>
      </c>
      <c r="D7" s="41">
        <v>0</v>
      </c>
      <c r="E7" s="41">
        <v>0</v>
      </c>
    </row>
    <row r="8" spans="1:5" ht="17.25" thickTop="1" thickBot="1" x14ac:dyDescent="0.3">
      <c r="A8" s="6"/>
      <c r="B8" s="17" t="s">
        <v>6</v>
      </c>
      <c r="C8" s="42">
        <f>SUM(C5:C7)</f>
        <v>335884.2</v>
      </c>
      <c r="D8" s="42">
        <f>SUM(D5:D7)</f>
        <v>336332</v>
      </c>
      <c r="E8" s="42">
        <v>336332</v>
      </c>
    </row>
    <row r="9" spans="1:5" ht="16.5" thickTop="1" x14ac:dyDescent="0.25">
      <c r="A9" s="6"/>
      <c r="B9" s="10"/>
      <c r="C9" s="43"/>
      <c r="D9" s="43"/>
      <c r="E9" s="43"/>
    </row>
    <row r="10" spans="1:5" ht="15.75" x14ac:dyDescent="0.25">
      <c r="A10" s="6"/>
      <c r="B10" s="10" t="s">
        <v>7</v>
      </c>
      <c r="C10" s="43"/>
      <c r="D10" s="43"/>
      <c r="E10" s="43"/>
    </row>
    <row r="11" spans="1:5" ht="15.75" x14ac:dyDescent="0.25">
      <c r="A11" s="11" t="s">
        <v>244</v>
      </c>
      <c r="B11" s="7" t="s">
        <v>255</v>
      </c>
      <c r="C11" s="44">
        <v>52.8</v>
      </c>
      <c r="D11" s="44">
        <v>500</v>
      </c>
      <c r="E11" s="44">
        <v>500</v>
      </c>
    </row>
    <row r="12" spans="1:5" ht="15.75" x14ac:dyDescent="0.25">
      <c r="A12" s="11" t="s">
        <v>244</v>
      </c>
      <c r="B12" s="7" t="s">
        <v>410</v>
      </c>
      <c r="C12" s="44">
        <v>335831.4</v>
      </c>
      <c r="D12" s="44">
        <v>335832</v>
      </c>
      <c r="E12" s="44">
        <v>335832</v>
      </c>
    </row>
    <row r="13" spans="1:5" ht="16.5" thickBot="1" x14ac:dyDescent="0.3">
      <c r="A13" s="11" t="s">
        <v>279</v>
      </c>
      <c r="B13" s="7" t="s">
        <v>233</v>
      </c>
      <c r="C13" s="44">
        <v>0</v>
      </c>
      <c r="D13" s="44">
        <v>0</v>
      </c>
      <c r="E13" s="44">
        <v>0</v>
      </c>
    </row>
    <row r="14" spans="1:5" ht="17.25" thickTop="1" thickBot="1" x14ac:dyDescent="0.3">
      <c r="A14" s="6"/>
      <c r="B14" s="17" t="s">
        <v>50</v>
      </c>
      <c r="C14" s="52">
        <f>SUM(C11:C13)</f>
        <v>335884.2</v>
      </c>
      <c r="D14" s="52">
        <f>SUM(D11:D13)</f>
        <v>336332</v>
      </c>
      <c r="E14" s="52">
        <v>336332</v>
      </c>
    </row>
    <row r="15" spans="1:5" ht="15.75" thickTop="1" x14ac:dyDescent="0.2"/>
  </sheetData>
  <sheetProtection insertRows="0" deleteRows="0"/>
  <phoneticPr fontId="0" type="noConversion"/>
  <pageMargins left="0.5" right="0.5" top="1" bottom="1" header="0.5" footer="0.5"/>
  <pageSetup scale="65" orientation="portrait" r:id="rId1"/>
  <headerFooter alignWithMargins="0">
    <oddHeader>&amp;LYEAR 2016 FINAL BUDGET&amp;C&amp;"Arial,Bold"EXHIBIT "A"&amp;RPAGE: &amp;P OF &amp;N</oddHeader>
    <oddFooter>&amp;L&amp;"Arial,Bold"GOVERNING BOARD MEETING DECEMBER 8,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County</vt:lpstr>
      <vt:lpstr>SA6</vt:lpstr>
      <vt:lpstr>SA7</vt:lpstr>
      <vt:lpstr>SA8</vt:lpstr>
      <vt:lpstr>SA9</vt:lpstr>
      <vt:lpstr>Soldier Summit</vt:lpstr>
      <vt:lpstr>County Road Dist</vt:lpstr>
      <vt:lpstr>MBA</vt:lpstr>
      <vt:lpstr>County!Print_Area</vt:lpstr>
      <vt:lpstr>'County Road Dist'!Print_Area</vt:lpstr>
      <vt:lpstr>MBA!Print_Area</vt:lpstr>
      <vt:lpstr>'SA6'!Print_Area</vt:lpstr>
      <vt:lpstr>'SA7'!Print_Area</vt:lpstr>
      <vt:lpstr>'SA8'!Print_Area</vt:lpstr>
      <vt:lpstr>'SA9'!Print_Area</vt:lpstr>
      <vt:lpstr>'Soldier Summit'!Print_Area</vt:lpstr>
      <vt:lpstr>County!Print_Titles</vt:lpstr>
      <vt:lpstr>'County Road Dist'!Print_Titles</vt:lpstr>
      <vt:lpstr>MBA!Print_Titles</vt:lpstr>
      <vt:lpstr>'SA6'!Print_Titles</vt:lpstr>
      <vt:lpstr>'SA7'!Print_Titles</vt:lpstr>
      <vt:lpstr>'SA8'!Print_Titles</vt:lpstr>
      <vt:lpstr>'SA9'!Print_Titles</vt:lpstr>
      <vt:lpstr>'Soldier Summit'!Print_Titles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Jeremy Walker</cp:lastModifiedBy>
  <cp:lastPrinted>2015-12-22T14:45:54Z</cp:lastPrinted>
  <dcterms:created xsi:type="dcterms:W3CDTF">2001-09-26T14:26:56Z</dcterms:created>
  <dcterms:modified xsi:type="dcterms:W3CDTF">2022-05-04T16:38:41Z</dcterms:modified>
</cp:coreProperties>
</file>